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5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5.xml" ContentType="application/vnd.openxmlformats-officedocument.drawing+xml"/>
  <Override PartName="/xl/charts/chart10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DOCENCIA_2019_2020\SENIOR_2019_2020\TEMA 4_ENTENDER Y ANALIZAR LOS CLIMAS DEL PLANETA\"/>
    </mc:Choice>
  </mc:AlternateContent>
  <bookViews>
    <workbookView xWindow="8205" yWindow="0" windowWidth="12480" windowHeight="8250" activeTab="1"/>
  </bookViews>
  <sheets>
    <sheet name="sANTANDER" sheetId="14" r:id="rId1"/>
    <sheet name="Estaciones" sheetId="15" r:id="rId2"/>
    <sheet name="Datos_básicos" sheetId="1" r:id="rId3"/>
    <sheet name="Duración_día_índiceUV" sheetId="9" r:id="rId4"/>
    <sheet name="Climograma" sheetId="2" r:id="rId5"/>
    <sheet name="Situaciones_Riesgo" sheetId="16" r:id="rId6"/>
    <sheet name="Balance_hídrico" sheetId="5" r:id="rId7"/>
    <sheet name="Índices_térmicos" sheetId="12" r:id="rId8"/>
    <sheet name="Agroclimatología" sheetId="13" r:id="rId9"/>
    <sheet name="Turismo" sheetId="10" r:id="rId10"/>
  </sheets>
  <definedNames>
    <definedName name="_Fill" hidden="1">#REF!</definedName>
    <definedName name="_xlnm._FilterDatabase" localSheetId="1" hidden="1">Estaciones!$A$14:$P$285</definedName>
    <definedName name="a" localSheetId="7">#REF!</definedName>
    <definedName name="a">Balance_hídrico!$R$5</definedName>
    <definedName name="ETP" localSheetId="7">#REF!</definedName>
    <definedName name="ETP">Balance_hídrico!$C$9:$N$9</definedName>
    <definedName name="ETR" localSheetId="7">#REF!</definedName>
    <definedName name="ETR">Balance_hídrico!$C$12:$N$12</definedName>
    <definedName name="horas_de_sol">Balance_hídrico!$C$8:$N$8</definedName>
    <definedName name="horas_sol">#REF!</definedName>
    <definedName name="I" localSheetId="7">#REF!</definedName>
    <definedName name="I">Balance_hídrico!$P$5</definedName>
    <definedName name="lat_grados">Datos_básicos!$B$6</definedName>
    <definedName name="latitud">#REF!</definedName>
    <definedName name="latitud_min">Datos_básicos!$D$6</definedName>
    <definedName name="nombre">Datos_básicos!$B$4</definedName>
    <definedName name="P" localSheetId="7">#REF!</definedName>
    <definedName name="P">Balance_hídrico!$C$11:$N$11</definedName>
    <definedName name="precipitaciones">Datos_básicos!$B$16:$M$16</definedName>
    <definedName name="Res" localSheetId="7">#REF!</definedName>
    <definedName name="Res">Balance_hídrico!$P$2</definedName>
    <definedName name="temperatura">Datos_básicos!$B$13:$M$13</definedName>
    <definedName name="temperaturas">Balance_hídrico!$C$4:$N$4</definedName>
  </definedNames>
  <calcPr calcId="152511"/>
</workbook>
</file>

<file path=xl/calcChain.xml><?xml version="1.0" encoding="utf-8"?>
<calcChain xmlns="http://schemas.openxmlformats.org/spreadsheetml/2006/main">
  <c r="C31" i="10" l="1"/>
  <c r="D31" i="10"/>
  <c r="E31" i="10"/>
  <c r="F31" i="10"/>
  <c r="G31" i="10"/>
  <c r="H31" i="10"/>
  <c r="I31" i="10"/>
  <c r="J31" i="10"/>
  <c r="K31" i="10"/>
  <c r="L31" i="10"/>
  <c r="M31" i="10"/>
  <c r="B31" i="10"/>
  <c r="C29" i="10"/>
  <c r="D29" i="10"/>
  <c r="E29" i="10"/>
  <c r="F29" i="10"/>
  <c r="G29" i="10"/>
  <c r="H29" i="10"/>
  <c r="I29" i="10"/>
  <c r="J29" i="10"/>
  <c r="K29" i="10"/>
  <c r="L29" i="10"/>
  <c r="M29" i="10"/>
  <c r="B29" i="10"/>
  <c r="C38" i="9"/>
  <c r="D38" i="9"/>
  <c r="E38" i="9"/>
  <c r="F38" i="9"/>
  <c r="G38" i="9"/>
  <c r="H38" i="9"/>
  <c r="I38" i="9"/>
  <c r="J38" i="9"/>
  <c r="K38" i="9"/>
  <c r="L38" i="9"/>
  <c r="M38" i="9"/>
  <c r="B38" i="9"/>
  <c r="O3" i="16" l="1"/>
  <c r="O4" i="16"/>
  <c r="O5" i="16"/>
  <c r="O6" i="16"/>
  <c r="O7" i="16"/>
  <c r="O8" i="16"/>
  <c r="O9" i="16"/>
  <c r="O10" i="16"/>
  <c r="O11" i="16"/>
  <c r="O12" i="16"/>
  <c r="O13" i="16"/>
  <c r="O14" i="16"/>
  <c r="P3" i="16"/>
  <c r="P4" i="16"/>
  <c r="P5" i="16"/>
  <c r="P6" i="16"/>
  <c r="P7" i="16"/>
  <c r="P8" i="16"/>
  <c r="P9" i="16"/>
  <c r="P10" i="16"/>
  <c r="P11" i="16"/>
  <c r="P12" i="16"/>
  <c r="P13" i="16"/>
  <c r="P14" i="16"/>
  <c r="N4" i="16"/>
  <c r="N5" i="16"/>
  <c r="N6" i="16"/>
  <c r="N7" i="16"/>
  <c r="N8" i="16"/>
  <c r="N9" i="16"/>
  <c r="N10" i="16"/>
  <c r="N11" i="16"/>
  <c r="N12" i="16"/>
  <c r="N13" i="16"/>
  <c r="N14" i="16"/>
  <c r="N3" i="16"/>
  <c r="B48" i="16"/>
  <c r="B47" i="16"/>
  <c r="B46" i="16"/>
  <c r="B45" i="16"/>
  <c r="B44" i="16"/>
  <c r="B43" i="16"/>
  <c r="B42" i="16"/>
  <c r="B41" i="16"/>
  <c r="B40" i="16"/>
  <c r="B39" i="16"/>
  <c r="B38" i="16"/>
  <c r="B37" i="16"/>
  <c r="C38" i="16"/>
  <c r="C39" i="16"/>
  <c r="C40" i="16"/>
  <c r="C41" i="16"/>
  <c r="C42" i="16"/>
  <c r="C43" i="16"/>
  <c r="C44" i="16"/>
  <c r="C45" i="16"/>
  <c r="C46" i="16"/>
  <c r="C47" i="16"/>
  <c r="C48" i="16"/>
  <c r="C37" i="16"/>
  <c r="B21" i="16"/>
  <c r="B22" i="16"/>
  <c r="B23" i="16"/>
  <c r="B24" i="16"/>
  <c r="B25" i="16"/>
  <c r="B26" i="16"/>
  <c r="B27" i="16"/>
  <c r="B28" i="16"/>
  <c r="B29" i="16"/>
  <c r="B30" i="16"/>
  <c r="B31" i="16"/>
  <c r="B20" i="16"/>
  <c r="B14" i="16"/>
  <c r="B4" i="16"/>
  <c r="B5" i="16"/>
  <c r="B6" i="16"/>
  <c r="B7" i="16"/>
  <c r="B8" i="16"/>
  <c r="B9" i="16"/>
  <c r="B10" i="16"/>
  <c r="B11" i="16"/>
  <c r="B12" i="16"/>
  <c r="B13" i="16"/>
  <c r="B3" i="16"/>
  <c r="C14" i="10" l="1"/>
  <c r="D14" i="10"/>
  <c r="E14" i="10"/>
  <c r="F14" i="10"/>
  <c r="G14" i="10"/>
  <c r="H14" i="10"/>
  <c r="I14" i="10"/>
  <c r="J14" i="10"/>
  <c r="K14" i="10"/>
  <c r="L14" i="10"/>
  <c r="M14" i="10"/>
  <c r="B14" i="10"/>
  <c r="C12" i="10"/>
  <c r="D12" i="10"/>
  <c r="E12" i="10"/>
  <c r="F12" i="10"/>
  <c r="G12" i="10"/>
  <c r="H12" i="10"/>
  <c r="I12" i="10"/>
  <c r="J12" i="10"/>
  <c r="K12" i="10"/>
  <c r="L12" i="10"/>
  <c r="M12" i="10"/>
  <c r="B12" i="10"/>
  <c r="C9" i="10"/>
  <c r="D9" i="10"/>
  <c r="E9" i="10"/>
  <c r="F9" i="10"/>
  <c r="G9" i="10"/>
  <c r="H9" i="10"/>
  <c r="I9" i="10"/>
  <c r="J9" i="10"/>
  <c r="K9" i="10"/>
  <c r="L9" i="10"/>
  <c r="M9" i="10"/>
  <c r="C10" i="10"/>
  <c r="D10" i="10"/>
  <c r="E10" i="10"/>
  <c r="F10" i="10"/>
  <c r="G10" i="10"/>
  <c r="H10" i="10"/>
  <c r="I10" i="10"/>
  <c r="J10" i="10"/>
  <c r="K10" i="10"/>
  <c r="L10" i="10"/>
  <c r="M10" i="10"/>
  <c r="B10" i="10"/>
  <c r="B9" i="10"/>
  <c r="C7" i="10"/>
  <c r="D7" i="10"/>
  <c r="E7" i="10"/>
  <c r="F7" i="10"/>
  <c r="G7" i="10"/>
  <c r="H7" i="10"/>
  <c r="I7" i="10"/>
  <c r="J7" i="10"/>
  <c r="K7" i="10"/>
  <c r="L7" i="10"/>
  <c r="M7" i="10"/>
  <c r="B7" i="10"/>
  <c r="C3" i="10"/>
  <c r="D3" i="10"/>
  <c r="E3" i="10"/>
  <c r="F3" i="10"/>
  <c r="G3" i="10"/>
  <c r="H3" i="10"/>
  <c r="I3" i="10"/>
  <c r="J3" i="10"/>
  <c r="K3" i="10"/>
  <c r="L3" i="10"/>
  <c r="M3" i="10"/>
  <c r="C4" i="10"/>
  <c r="D4" i="10"/>
  <c r="E4" i="10"/>
  <c r="F4" i="10"/>
  <c r="G4" i="10"/>
  <c r="H4" i="10"/>
  <c r="I4" i="10"/>
  <c r="J4" i="10"/>
  <c r="K4" i="10"/>
  <c r="L4" i="10"/>
  <c r="M4" i="10"/>
  <c r="B4" i="10"/>
  <c r="B3" i="10"/>
  <c r="H11" i="5"/>
  <c r="I11" i="5"/>
  <c r="J11" i="5"/>
  <c r="K11" i="5"/>
  <c r="L11" i="5"/>
  <c r="M11" i="5"/>
  <c r="N11" i="5"/>
  <c r="G11" i="5"/>
  <c r="D11" i="5"/>
  <c r="E11" i="5"/>
  <c r="F11" i="5"/>
  <c r="C11" i="5"/>
  <c r="C44" i="2"/>
  <c r="D44" i="2"/>
  <c r="E44" i="2"/>
  <c r="F44" i="2"/>
  <c r="G44" i="2"/>
  <c r="H44" i="2"/>
  <c r="I44" i="2"/>
  <c r="J44" i="2"/>
  <c r="K44" i="2"/>
  <c r="L44" i="2"/>
  <c r="M44" i="2"/>
  <c r="B44" i="2"/>
  <c r="C43" i="2"/>
  <c r="D43" i="2"/>
  <c r="E43" i="2"/>
  <c r="F43" i="2"/>
  <c r="G43" i="2"/>
  <c r="H43" i="2"/>
  <c r="I43" i="2"/>
  <c r="J43" i="2"/>
  <c r="K43" i="2"/>
  <c r="L43" i="2"/>
  <c r="M43" i="2"/>
  <c r="B43" i="2"/>
  <c r="C42" i="2"/>
  <c r="D42" i="2"/>
  <c r="E42" i="2"/>
  <c r="F42" i="2"/>
  <c r="G42" i="2"/>
  <c r="H42" i="2"/>
  <c r="I42" i="2"/>
  <c r="J42" i="2"/>
  <c r="K42" i="2"/>
  <c r="L42" i="2"/>
  <c r="M42" i="2"/>
  <c r="B42" i="2"/>
  <c r="B6" i="9"/>
  <c r="C36" i="9"/>
  <c r="D36" i="9"/>
  <c r="E36" i="9"/>
  <c r="F36" i="9"/>
  <c r="G36" i="9"/>
  <c r="H36" i="9"/>
  <c r="I36" i="9"/>
  <c r="J36" i="9"/>
  <c r="K36" i="9"/>
  <c r="L36" i="9"/>
  <c r="M36" i="9"/>
  <c r="A36" i="9"/>
  <c r="B36" i="9"/>
  <c r="C30" i="10"/>
  <c r="D30" i="10"/>
  <c r="E30" i="10"/>
  <c r="F30" i="10"/>
  <c r="G30" i="10"/>
  <c r="H30" i="10"/>
  <c r="I30" i="10"/>
  <c r="J30" i="10"/>
  <c r="K30" i="10"/>
  <c r="L30" i="10"/>
  <c r="M30" i="10"/>
  <c r="B30" i="10"/>
  <c r="G58" i="2" l="1"/>
  <c r="G61" i="2"/>
  <c r="B13" i="14" l="1"/>
  <c r="C13" i="14"/>
  <c r="D13" i="14"/>
  <c r="E13" i="14"/>
  <c r="F13" i="14"/>
  <c r="G13" i="14"/>
  <c r="H13" i="14"/>
  <c r="I13" i="14"/>
  <c r="J13" i="14"/>
  <c r="K13" i="14"/>
  <c r="L13" i="14"/>
  <c r="M13" i="14"/>
  <c r="N13" i="14" l="1"/>
  <c r="B16" i="13"/>
  <c r="B17" i="13"/>
  <c r="C16" i="13"/>
  <c r="C17" i="13"/>
  <c r="B6" i="13"/>
  <c r="B7" i="13"/>
  <c r="B8" i="13"/>
  <c r="B9" i="13"/>
  <c r="B10" i="13"/>
  <c r="B11" i="13"/>
  <c r="B12" i="13"/>
  <c r="B13" i="13"/>
  <c r="B14" i="13"/>
  <c r="B15" i="13"/>
  <c r="C6" i="13"/>
  <c r="C7" i="13"/>
  <c r="C8" i="13"/>
  <c r="C9" i="13"/>
  <c r="C10" i="13"/>
  <c r="C11" i="13"/>
  <c r="C12" i="13"/>
  <c r="C13" i="13"/>
  <c r="C14" i="13"/>
  <c r="C15" i="13"/>
  <c r="C5" i="13"/>
  <c r="B5" i="13"/>
  <c r="M22" i="10"/>
  <c r="L22" i="10"/>
  <c r="K22" i="10"/>
  <c r="J22" i="10"/>
  <c r="I22" i="10"/>
  <c r="H22" i="10"/>
  <c r="G22" i="10"/>
  <c r="F22" i="10"/>
  <c r="E22" i="10"/>
  <c r="D22" i="10"/>
  <c r="C22" i="10"/>
  <c r="B22" i="10"/>
  <c r="M21" i="10"/>
  <c r="L21" i="10"/>
  <c r="K21" i="10"/>
  <c r="J21" i="10"/>
  <c r="I21" i="10"/>
  <c r="H21" i="10"/>
  <c r="G21" i="10"/>
  <c r="F21" i="10"/>
  <c r="E21" i="10"/>
  <c r="D21" i="10"/>
  <c r="C21" i="10"/>
  <c r="B21" i="10"/>
  <c r="M20" i="10"/>
  <c r="L20" i="10"/>
  <c r="K20" i="10"/>
  <c r="J20" i="10"/>
  <c r="I20" i="10"/>
  <c r="H20" i="10"/>
  <c r="G20" i="10"/>
  <c r="F20" i="10"/>
  <c r="E20" i="10"/>
  <c r="D20" i="10"/>
  <c r="C20" i="10"/>
  <c r="B20" i="10"/>
  <c r="M18" i="10"/>
  <c r="M23" i="10" s="1"/>
  <c r="L18" i="10"/>
  <c r="L23" i="10" s="1"/>
  <c r="K18" i="10"/>
  <c r="K23" i="10" s="1"/>
  <c r="J18" i="10"/>
  <c r="J23" i="10" s="1"/>
  <c r="I18" i="10"/>
  <c r="I23" i="10" s="1"/>
  <c r="H18" i="10"/>
  <c r="H23" i="10" s="1"/>
  <c r="G18" i="10"/>
  <c r="G23" i="10" s="1"/>
  <c r="F18" i="10"/>
  <c r="F23" i="10" s="1"/>
  <c r="E18" i="10"/>
  <c r="E23" i="10" s="1"/>
  <c r="D18" i="10"/>
  <c r="D23" i="10" s="1"/>
  <c r="C18" i="10"/>
  <c r="C23" i="10" s="1"/>
  <c r="B18" i="10"/>
  <c r="B23" i="10" s="1"/>
  <c r="M5" i="10"/>
  <c r="M19" i="10" s="1"/>
  <c r="M24" i="10" s="1"/>
  <c r="L5" i="10"/>
  <c r="L19" i="10" s="1"/>
  <c r="L24" i="10" s="1"/>
  <c r="K5" i="10"/>
  <c r="K19" i="10" s="1"/>
  <c r="K24" i="10" s="1"/>
  <c r="J5" i="10"/>
  <c r="J19" i="10" s="1"/>
  <c r="J24" i="10" s="1"/>
  <c r="I5" i="10"/>
  <c r="I19" i="10" s="1"/>
  <c r="I24" i="10" s="1"/>
  <c r="H5" i="10"/>
  <c r="H19" i="10" s="1"/>
  <c r="H24" i="10" s="1"/>
  <c r="G5" i="10"/>
  <c r="G19" i="10" s="1"/>
  <c r="G24" i="10" s="1"/>
  <c r="F5" i="10"/>
  <c r="F19" i="10" s="1"/>
  <c r="F24" i="10" s="1"/>
  <c r="E5" i="10"/>
  <c r="E19" i="10" s="1"/>
  <c r="E24" i="10" s="1"/>
  <c r="D5" i="10"/>
  <c r="D19" i="10" s="1"/>
  <c r="D24" i="10" s="1"/>
  <c r="C5" i="10"/>
  <c r="C19" i="10" s="1"/>
  <c r="C24" i="10" s="1"/>
  <c r="B5" i="10"/>
  <c r="B19" i="10" s="1"/>
  <c r="B24" i="10" s="1"/>
  <c r="H4" i="12"/>
  <c r="H10" i="12" s="1"/>
  <c r="I4" i="12"/>
  <c r="I12" i="12" s="1"/>
  <c r="J4" i="12"/>
  <c r="J10" i="12" s="1"/>
  <c r="K4" i="12"/>
  <c r="K10" i="12" s="1"/>
  <c r="L4" i="12"/>
  <c r="L10" i="12" s="1"/>
  <c r="M4" i="12"/>
  <c r="M10" i="12" s="1"/>
  <c r="N4" i="12"/>
  <c r="N10" i="12" s="1"/>
  <c r="G4" i="12"/>
  <c r="G10" i="12" s="1"/>
  <c r="D4" i="12"/>
  <c r="D10" i="12" s="1"/>
  <c r="E4" i="12"/>
  <c r="E10" i="12" s="1"/>
  <c r="F4" i="12"/>
  <c r="F10" i="12" s="1"/>
  <c r="C4" i="12"/>
  <c r="C10" i="12" s="1"/>
  <c r="B7" i="9"/>
  <c r="O11" i="5"/>
  <c r="H4" i="5"/>
  <c r="I4" i="5"/>
  <c r="J4" i="5"/>
  <c r="K4" i="5"/>
  <c r="L4" i="5"/>
  <c r="M4" i="5"/>
  <c r="N4" i="5"/>
  <c r="G4" i="5"/>
  <c r="D4" i="5"/>
  <c r="E4" i="5"/>
  <c r="F4" i="5"/>
  <c r="C4" i="5"/>
  <c r="O4" i="5" s="1"/>
  <c r="B9" i="9"/>
  <c r="B13" i="9" s="1"/>
  <c r="B14" i="9" s="1"/>
  <c r="C8" i="9"/>
  <c r="D8" i="9" s="1"/>
  <c r="G77" i="2"/>
  <c r="C5" i="5"/>
  <c r="D5" i="5"/>
  <c r="E5" i="5"/>
  <c r="F5" i="5"/>
  <c r="G5" i="5"/>
  <c r="H5" i="5"/>
  <c r="I5" i="5"/>
  <c r="J5" i="5"/>
  <c r="K5" i="5"/>
  <c r="L5" i="5"/>
  <c r="M5" i="5"/>
  <c r="N5" i="5"/>
  <c r="C1" i="5"/>
  <c r="O7" i="5"/>
  <c r="B41" i="2"/>
  <c r="B76" i="2" s="1"/>
  <c r="E41" i="2"/>
  <c r="F76" i="2" s="1"/>
  <c r="G76" i="2"/>
  <c r="C41" i="2"/>
  <c r="B77" i="2" s="1"/>
  <c r="C77" i="2"/>
  <c r="F41" i="2"/>
  <c r="F77" i="2" s="1"/>
  <c r="D41" i="2"/>
  <c r="C78" i="2"/>
  <c r="G41" i="2"/>
  <c r="F78" i="2" s="1"/>
  <c r="G78" i="2"/>
  <c r="K41" i="2"/>
  <c r="B79" i="2" s="1"/>
  <c r="C79" i="2"/>
  <c r="H41" i="2"/>
  <c r="F79" i="2" s="1"/>
  <c r="G79" i="2"/>
  <c r="L41" i="2"/>
  <c r="B80" i="2" s="1"/>
  <c r="C80" i="2"/>
  <c r="I41" i="2"/>
  <c r="F80" i="2" s="1"/>
  <c r="G80" i="2"/>
  <c r="M41" i="2"/>
  <c r="B81" i="2" s="1"/>
  <c r="C81" i="2"/>
  <c r="J41" i="2"/>
  <c r="F81" i="2" s="1"/>
  <c r="G81" i="2"/>
  <c r="F107" i="2" s="1"/>
  <c r="N2" i="2"/>
  <c r="J2" i="2"/>
  <c r="L2" i="2"/>
  <c r="C2" i="2"/>
  <c r="B28" i="9"/>
  <c r="C9" i="9"/>
  <c r="C13" i="9" s="1"/>
  <c r="C14" i="9" s="1"/>
  <c r="B78" i="2"/>
  <c r="O5" i="5"/>
  <c r="E7" i="13" l="1"/>
  <c r="E17" i="13"/>
  <c r="G12" i="12"/>
  <c r="E6" i="13"/>
  <c r="L12" i="12"/>
  <c r="E11" i="12"/>
  <c r="N12" i="12"/>
  <c r="C76" i="2"/>
  <c r="F108" i="2" s="1"/>
  <c r="C114" i="2"/>
  <c r="F47" i="2"/>
  <c r="M11" i="12"/>
  <c r="I10" i="12"/>
  <c r="O10" i="12" s="1"/>
  <c r="C28" i="9"/>
  <c r="D9" i="9"/>
  <c r="D13" i="9" s="1"/>
  <c r="D14" i="9" s="1"/>
  <c r="E8" i="9"/>
  <c r="D28" i="9"/>
  <c r="E15" i="13"/>
  <c r="E13" i="13"/>
  <c r="E11" i="13"/>
  <c r="E9" i="13"/>
  <c r="E14" i="13"/>
  <c r="E12" i="13"/>
  <c r="E10" i="13"/>
  <c r="E8" i="13"/>
  <c r="E16" i="13"/>
  <c r="M12" i="12"/>
  <c r="K12" i="12"/>
  <c r="E12" i="12"/>
  <c r="I11" i="12"/>
  <c r="B88" i="2"/>
  <c r="G55" i="2" s="1"/>
  <c r="F87" i="2"/>
  <c r="F94" i="2"/>
  <c r="F96" i="2" s="1"/>
  <c r="F12" i="12"/>
  <c r="C111" i="2"/>
  <c r="I17" i="12"/>
  <c r="D87" i="2"/>
  <c r="B87" i="2"/>
  <c r="C12" i="12"/>
  <c r="K11" i="12"/>
  <c r="K17" i="12" s="1"/>
  <c r="G11" i="12"/>
  <c r="G17" i="12" s="1"/>
  <c r="C11" i="12"/>
  <c r="C113" i="2"/>
  <c r="D88" i="2"/>
  <c r="P5" i="5"/>
  <c r="R5" i="5" s="1"/>
  <c r="G6" i="5" s="1"/>
  <c r="P11" i="5"/>
  <c r="D12" i="12"/>
  <c r="C118" i="2"/>
  <c r="C121" i="2"/>
  <c r="C117" i="2"/>
  <c r="C120" i="2"/>
  <c r="C116" i="2"/>
  <c r="C119" i="2"/>
  <c r="J12" i="12"/>
  <c r="H12" i="12"/>
  <c r="N11" i="12"/>
  <c r="L11" i="12"/>
  <c r="L17" i="12" s="1"/>
  <c r="J11" i="12"/>
  <c r="H11" i="12"/>
  <c r="F11" i="12"/>
  <c r="D11" i="12"/>
  <c r="F106" i="2"/>
  <c r="G82" i="2"/>
  <c r="G85" i="2" s="1"/>
  <c r="G83" i="2"/>
  <c r="G86" i="2" s="1"/>
  <c r="H91" i="2"/>
  <c r="F105" i="2"/>
  <c r="C112" i="2"/>
  <c r="F82" i="2"/>
  <c r="F85" i="2" s="1"/>
  <c r="F83" i="2"/>
  <c r="F86" i="2" s="1"/>
  <c r="C107" i="2" s="1"/>
  <c r="F49" i="2" s="1"/>
  <c r="C115" i="2"/>
  <c r="B82" i="2"/>
  <c r="B85" i="2" s="1"/>
  <c r="C108" i="2" s="1"/>
  <c r="F50" i="2" s="1"/>
  <c r="B83" i="2"/>
  <c r="B86" i="2" s="1"/>
  <c r="B17" i="9"/>
  <c r="B18" i="9" s="1"/>
  <c r="B20" i="9" s="1"/>
  <c r="C17" i="9"/>
  <c r="B28" i="10"/>
  <c r="D28" i="10"/>
  <c r="F28" i="10"/>
  <c r="H28" i="10"/>
  <c r="J28" i="10"/>
  <c r="L28" i="10"/>
  <c r="C28" i="10"/>
  <c r="E28" i="10"/>
  <c r="G28" i="10"/>
  <c r="I28" i="10"/>
  <c r="K28" i="10"/>
  <c r="M28" i="10"/>
  <c r="E17" i="12" l="1"/>
  <c r="C110" i="2"/>
  <c r="C122" i="2" s="1"/>
  <c r="G57" i="2" s="1"/>
  <c r="E65" i="2"/>
  <c r="G65" i="2" s="1"/>
  <c r="G59" i="2"/>
  <c r="C82" i="2"/>
  <c r="C85" i="2" s="1"/>
  <c r="F17" i="12"/>
  <c r="N17" i="12"/>
  <c r="M17" i="12"/>
  <c r="C83" i="2"/>
  <c r="C86" i="2" s="1"/>
  <c r="C91" i="2" s="1"/>
  <c r="G60" i="2"/>
  <c r="H60" i="2" s="1"/>
  <c r="E66" i="2"/>
  <c r="G66" i="2" s="1"/>
  <c r="F8" i="9"/>
  <c r="E9" i="9"/>
  <c r="D17" i="9"/>
  <c r="D18" i="9" s="1"/>
  <c r="D20" i="9" s="1"/>
  <c r="I8" i="5" s="1"/>
  <c r="C17" i="12"/>
  <c r="D30" i="9"/>
  <c r="D31" i="9" s="1"/>
  <c r="K6" i="5"/>
  <c r="H17" i="12"/>
  <c r="H6" i="5"/>
  <c r="M6" i="5"/>
  <c r="L6" i="5"/>
  <c r="C96" i="2"/>
  <c r="C98" i="2"/>
  <c r="F6" i="5"/>
  <c r="E6" i="5"/>
  <c r="C100" i="2"/>
  <c r="H87" i="2"/>
  <c r="C99" i="2"/>
  <c r="D17" i="12"/>
  <c r="O11" i="12"/>
  <c r="B124" i="2"/>
  <c r="B30" i="9"/>
  <c r="B31" i="9" s="1"/>
  <c r="F109" i="2"/>
  <c r="J17" i="12"/>
  <c r="O12" i="12"/>
  <c r="J6" i="5"/>
  <c r="I6" i="5"/>
  <c r="D6" i="5"/>
  <c r="N6" i="5"/>
  <c r="C6" i="5"/>
  <c r="O6" i="5" s="1"/>
  <c r="C18" i="9"/>
  <c r="C20" i="9" s="1"/>
  <c r="C30" i="9"/>
  <c r="C31" i="9" s="1"/>
  <c r="B21" i="9"/>
  <c r="G8" i="5"/>
  <c r="G9" i="5" s="1"/>
  <c r="G92" i="2"/>
  <c r="G56" i="2" s="1"/>
  <c r="G100" i="2"/>
  <c r="N34" i="2" s="1"/>
  <c r="D21" i="9" l="1"/>
  <c r="B125" i="2"/>
  <c r="C125" i="2" s="1"/>
  <c r="E28" i="9"/>
  <c r="E13" i="9"/>
  <c r="G8" i="9"/>
  <c r="F9" i="9"/>
  <c r="C101" i="2"/>
  <c r="I9" i="5"/>
  <c r="F48" i="2"/>
  <c r="H51" i="2" s="1"/>
  <c r="F51" i="2" s="1"/>
  <c r="F98" i="2"/>
  <c r="C97" i="2"/>
  <c r="C104" i="2" s="1"/>
  <c r="O17" i="12"/>
  <c r="C93" i="2"/>
  <c r="C94" i="2"/>
  <c r="B95" i="2"/>
  <c r="C92" i="2"/>
  <c r="C21" i="9"/>
  <c r="H8" i="5"/>
  <c r="H9" i="5" s="1"/>
  <c r="F28" i="9" l="1"/>
  <c r="F13" i="9"/>
  <c r="E14" i="9"/>
  <c r="E17" i="9"/>
  <c r="E18" i="9" s="1"/>
  <c r="E20" i="9" s="1"/>
  <c r="G9" i="9"/>
  <c r="H8" i="9"/>
  <c r="C95" i="2"/>
  <c r="C102" i="2" s="1"/>
  <c r="F103" i="2"/>
  <c r="F101" i="2" s="1"/>
  <c r="F111" i="2"/>
  <c r="G112" i="2" l="1"/>
  <c r="N35" i="2" s="1"/>
  <c r="C103" i="2"/>
  <c r="I8" i="9"/>
  <c r="H9" i="9"/>
  <c r="E21" i="9"/>
  <c r="J8" i="5"/>
  <c r="J9" i="5" s="1"/>
  <c r="F14" i="9"/>
  <c r="F17" i="9"/>
  <c r="F18" i="9" s="1"/>
  <c r="F20" i="9" s="1"/>
  <c r="E30" i="9"/>
  <c r="E31" i="9" s="1"/>
  <c r="G28" i="9"/>
  <c r="G13" i="9"/>
  <c r="F30" i="9"/>
  <c r="F31" i="9" s="1"/>
  <c r="C105" i="2"/>
  <c r="C106" i="2" l="1"/>
  <c r="G34" i="2" s="1"/>
  <c r="F21" i="9"/>
  <c r="K8" i="5"/>
  <c r="K9" i="5" s="1"/>
  <c r="H28" i="9"/>
  <c r="H13" i="9"/>
  <c r="G17" i="9"/>
  <c r="G14" i="9"/>
  <c r="I9" i="9"/>
  <c r="J8" i="9"/>
  <c r="J9" i="9" l="1"/>
  <c r="K8" i="9"/>
  <c r="H14" i="9"/>
  <c r="H17" i="9"/>
  <c r="H18" i="9" s="1"/>
  <c r="H20" i="9" s="1"/>
  <c r="I28" i="9"/>
  <c r="I13" i="9"/>
  <c r="G18" i="9"/>
  <c r="G20" i="9" s="1"/>
  <c r="G30" i="9"/>
  <c r="G31" i="9" s="1"/>
  <c r="I14" i="9" l="1"/>
  <c r="I17" i="9"/>
  <c r="M8" i="5"/>
  <c r="M9" i="5" s="1"/>
  <c r="H21" i="9"/>
  <c r="L8" i="9"/>
  <c r="K9" i="9"/>
  <c r="H30" i="9"/>
  <c r="H31" i="9" s="1"/>
  <c r="G21" i="9"/>
  <c r="L8" i="5"/>
  <c r="L9" i="5" s="1"/>
  <c r="J13" i="9"/>
  <c r="J28" i="9"/>
  <c r="J14" i="9" l="1"/>
  <c r="J17" i="9"/>
  <c r="K28" i="9"/>
  <c r="K13" i="9"/>
  <c r="I18" i="9"/>
  <c r="I20" i="9" s="1"/>
  <c r="I30" i="9"/>
  <c r="I31" i="9" s="1"/>
  <c r="L9" i="9"/>
  <c r="M8" i="9"/>
  <c r="M9" i="9" s="1"/>
  <c r="M28" i="9" l="1"/>
  <c r="M13" i="9"/>
  <c r="K17" i="9"/>
  <c r="K18" i="9" s="1"/>
  <c r="K20" i="9" s="1"/>
  <c r="K14" i="9"/>
  <c r="J18" i="9"/>
  <c r="J20" i="9" s="1"/>
  <c r="J30" i="9"/>
  <c r="J31" i="9" s="1"/>
  <c r="L13" i="9"/>
  <c r="L28" i="9"/>
  <c r="I21" i="9"/>
  <c r="N8" i="5"/>
  <c r="N9" i="5" s="1"/>
  <c r="K30" i="9"/>
  <c r="K31" i="9" s="1"/>
  <c r="M14" i="9" l="1"/>
  <c r="M17" i="9"/>
  <c r="M18" i="9" s="1"/>
  <c r="M20" i="9" s="1"/>
  <c r="L14" i="9"/>
  <c r="L17" i="9"/>
  <c r="J21" i="9"/>
  <c r="C8" i="5"/>
  <c r="K21" i="9"/>
  <c r="D8" i="5"/>
  <c r="D9" i="5" s="1"/>
  <c r="M21" i="9" l="1"/>
  <c r="F8" i="5"/>
  <c r="F9" i="5" s="1"/>
  <c r="C9" i="5"/>
  <c r="O8" i="5"/>
  <c r="L18" i="9"/>
  <c r="L20" i="9" s="1"/>
  <c r="L30" i="9"/>
  <c r="L31" i="9" s="1"/>
  <c r="M30" i="9"/>
  <c r="M31" i="9" s="1"/>
  <c r="E8" i="5" l="1"/>
  <c r="E9" i="5" s="1"/>
  <c r="L21" i="9"/>
  <c r="C12" i="5"/>
  <c r="C13" i="5" s="1"/>
  <c r="O13" i="5" s="1"/>
  <c r="O9" i="5"/>
  <c r="P9" i="5"/>
  <c r="C15" i="5" l="1"/>
  <c r="O15" i="5" s="1"/>
  <c r="O12" i="5"/>
  <c r="C14" i="5"/>
  <c r="D12" i="5" l="1"/>
  <c r="D13" i="5" s="1"/>
  <c r="O14" i="5"/>
  <c r="D14" i="5"/>
  <c r="E12" i="5" s="1"/>
  <c r="E13" i="5" s="1"/>
  <c r="E15" i="5" l="1"/>
  <c r="E14" i="5"/>
  <c r="F12" i="5" s="1"/>
  <c r="F14" i="5" s="1"/>
  <c r="D15" i="5"/>
  <c r="G12" i="5" l="1"/>
  <c r="F15" i="5"/>
  <c r="F13" i="5"/>
  <c r="G14" i="5" l="1"/>
  <c r="G13" i="5"/>
  <c r="G15" i="5"/>
  <c r="H12" i="5" l="1"/>
  <c r="H13" i="5" s="1"/>
  <c r="H14" i="5" l="1"/>
  <c r="I12" i="5" s="1"/>
  <c r="I13" i="5" s="1"/>
  <c r="H15" i="5"/>
  <c r="I15" i="5" l="1"/>
  <c r="I14" i="5"/>
  <c r="J12" i="5" l="1"/>
  <c r="J13" i="5" s="1"/>
  <c r="J14" i="5" l="1"/>
  <c r="K12" i="5" s="1"/>
  <c r="K13" i="5" s="1"/>
  <c r="J15" i="5"/>
  <c r="K14" i="5" l="1"/>
  <c r="L12" i="5" s="1"/>
  <c r="K15" i="5"/>
  <c r="L13" i="5" l="1"/>
  <c r="L14" i="5"/>
  <c r="L15" i="5"/>
  <c r="M12" i="5" l="1"/>
  <c r="M13" i="5" l="1"/>
  <c r="M15" i="5"/>
  <c r="M14" i="5"/>
  <c r="N12" i="5" l="1"/>
  <c r="N15" i="5" s="1"/>
  <c r="P15" i="5" s="1"/>
  <c r="N14" i="5" l="1"/>
  <c r="N13" i="5"/>
  <c r="P13" i="5" s="1"/>
  <c r="P12" i="5"/>
</calcChain>
</file>

<file path=xl/comments1.xml><?xml version="1.0" encoding="utf-8"?>
<comments xmlns="http://schemas.openxmlformats.org/spreadsheetml/2006/main">
  <authors>
    <author/>
  </authors>
  <commentList>
    <comment ref="A6" authorId="0" shapeId="0">
      <text>
        <r>
          <rPr>
            <b/>
            <sz val="8"/>
            <color indexed="8"/>
            <rFont val="Times New Roman"/>
            <family val="1"/>
          </rPr>
          <t xml:space="preserve">La fórmula de Thornthwaite clacula inicialmente la ETP si el mes tuviera 30 días y cada día tuviera 12 horas de sol y 12 horas sin sol
</t>
        </r>
      </text>
    </comment>
    <comment ref="A8" authorId="0" shapeId="0">
      <text>
        <r>
          <rPr>
            <b/>
            <sz val="8"/>
            <color indexed="8"/>
            <rFont val="Times New Roman"/>
            <family val="1"/>
          </rPr>
          <t>= número máximo de horas de sol. 
Depende de la latitud y de la fecha. Tabulado al final del tema T040 Evapotranspiración</t>
        </r>
      </text>
    </comment>
    <comment ref="A9" authorId="0" shapeId="0">
      <text>
        <r>
          <rPr>
            <b/>
            <sz val="8"/>
            <color indexed="8"/>
            <rFont val="Times New Roman"/>
            <family val="1"/>
          </rPr>
          <t>Aquí aparece la ETP calculada por Thonthwaite, pero si dispusiéramos de datos de ETP procedentes de lisímetros o de de cualquier otra fórmula más sofisticada que la de Thornthwaite, los escribimos manualmente , para que Excel los utilice en el cálculo del Balance mes a mes</t>
        </r>
      </text>
    </comment>
  </commentList>
</comments>
</file>

<file path=xl/sharedStrings.xml><?xml version="1.0" encoding="utf-8"?>
<sst xmlns="http://schemas.openxmlformats.org/spreadsheetml/2006/main" count="788" uniqueCount="317">
  <si>
    <t>Datos de la localidad</t>
  </si>
  <si>
    <t>º</t>
  </si>
  <si>
    <t>min</t>
  </si>
  <si>
    <t>N</t>
  </si>
  <si>
    <t>Datos climáticos</t>
  </si>
  <si>
    <t>ºC</t>
  </si>
  <si>
    <t>mm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</si>
  <si>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</si>
  <si>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</si>
  <si>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</si>
  <si>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</si>
  <si>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</si>
  <si>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</si>
  <si>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</si>
  <si>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</si>
  <si>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</si>
  <si>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</si>
  <si>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</si>
  <si>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</si>
  <si>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Temperatura</t>
  </si>
  <si>
    <t>Precipitación</t>
  </si>
  <si>
    <t>Martonne</t>
  </si>
  <si>
    <t>Dantin-Revenga</t>
  </si>
  <si>
    <t>OCT</t>
  </si>
  <si>
    <t>NOV</t>
  </si>
  <si>
    <t>DIC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</si>
  <si>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</si>
  <si>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</si>
  <si>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</si>
  <si>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</si>
  <si>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</si>
  <si>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</si>
  <si>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</si>
  <si>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</si>
  <si>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</si>
  <si>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Reserva máx:</t>
  </si>
  <si>
    <t>set</t>
  </si>
  <si>
    <t>Total</t>
  </si>
  <si>
    <t>temp</t>
  </si>
  <si>
    <t xml:space="preserve">i </t>
  </si>
  <si>
    <t>a=</t>
  </si>
  <si>
    <t xml:space="preserve">Ficha hídrica </t>
  </si>
  <si>
    <t>ETP sin corr</t>
  </si>
  <si>
    <t>nºdias mes</t>
  </si>
  <si>
    <t>nº horas luz</t>
  </si>
  <si>
    <t>ETP corr.</t>
  </si>
  <si>
    <t>ETR</t>
  </si>
  <si>
    <t>Déficit</t>
  </si>
  <si>
    <t>Reserva</t>
  </si>
  <si>
    <t>Excedentes</t>
  </si>
  <si>
    <t>Hemisferio norte</t>
  </si>
  <si>
    <t>Invierno</t>
  </si>
  <si>
    <t>Verano</t>
  </si>
  <si>
    <t>Mínima</t>
  </si>
  <si>
    <t>Máxima</t>
  </si>
  <si>
    <t>Min Invierno</t>
  </si>
  <si>
    <t>Min Verano</t>
  </si>
  <si>
    <t>Max Invierno</t>
  </si>
  <si>
    <t>Max Verano</t>
  </si>
  <si>
    <t>T max</t>
  </si>
  <si>
    <t>Tmin</t>
  </si>
  <si>
    <t>Tmed</t>
  </si>
  <si>
    <t>Atermica</t>
  </si>
  <si>
    <t>Prec total</t>
  </si>
  <si>
    <t>Prec media</t>
  </si>
  <si>
    <t>Köppen</t>
  </si>
  <si>
    <t>Font</t>
  </si>
  <si>
    <t>Régimen pluviométrico</t>
  </si>
  <si>
    <t>P estival</t>
  </si>
  <si>
    <t>Latitud</t>
  </si>
  <si>
    <t>Clima B</t>
  </si>
  <si>
    <t>Régimen térmico</t>
  </si>
  <si>
    <t>sen lat</t>
  </si>
  <si>
    <t>Régimen pluviométrico A</t>
  </si>
  <si>
    <t>K (Font)</t>
  </si>
  <si>
    <t>Régimen térmico CD</t>
  </si>
  <si>
    <t>Clarificación de Font</t>
  </si>
  <si>
    <t>Régimen térmico B</t>
  </si>
  <si>
    <t>Zona parda</t>
  </si>
  <si>
    <t>Precipitaciones</t>
  </si>
  <si>
    <t>Primavera</t>
  </si>
  <si>
    <t xml:space="preserve">Clasificación </t>
  </si>
  <si>
    <t>T verano</t>
  </si>
  <si>
    <t>Otoño</t>
  </si>
  <si>
    <t>T invierno</t>
  </si>
  <si>
    <t>Mediterraneo</t>
  </si>
  <si>
    <t>Meses secos</t>
  </si>
  <si>
    <t xml:space="preserve"> </t>
  </si>
  <si>
    <t>Subzona</t>
  </si>
  <si>
    <t>D-R</t>
  </si>
  <si>
    <t>E</t>
  </si>
  <si>
    <t>F</t>
  </si>
  <si>
    <t>M</t>
  </si>
  <si>
    <t>A</t>
  </si>
  <si>
    <t>J</t>
  </si>
  <si>
    <t>JL</t>
  </si>
  <si>
    <t>S</t>
  </si>
  <si>
    <t>O</t>
  </si>
  <si>
    <t>D</t>
  </si>
  <si>
    <t>Precipitacion</t>
  </si>
  <si>
    <t>Media anual</t>
  </si>
  <si>
    <t>Amplitud anual</t>
  </si>
  <si>
    <t>DURACIÓN DEL DÍA (número de horas de sol máximas -horas/día-)</t>
  </si>
  <si>
    <t>OBSERVATORIO</t>
  </si>
  <si>
    <t>SANTANDER</t>
  </si>
  <si>
    <t>Latitud (grados)</t>
  </si>
  <si>
    <t>Inserte como dato la latitud en grados (H.Norte: positiva; H.Sur: negativa)</t>
  </si>
  <si>
    <t>Latitud (radianes)</t>
  </si>
  <si>
    <t>Día del año:</t>
  </si>
  <si>
    <t>Inserte el día del año desde n= 1 (1 de Enero) a n= 365 (12 de Diciembre)</t>
  </si>
  <si>
    <t>Elevación</t>
  </si>
  <si>
    <t xml:space="preserve">En general 0. Es la altitud relativa del lugar en metros con respecto a su </t>
  </si>
  <si>
    <t>vencindad. Tiene sentido en colinas, o montañas no rodeadas de otras.</t>
  </si>
  <si>
    <t>Declinación (radianes)</t>
  </si>
  <si>
    <t>Declinación (grados)</t>
  </si>
  <si>
    <t>Declinación en grados (obtenida a partir del día del año)</t>
  </si>
  <si>
    <r>
      <t>w</t>
    </r>
    <r>
      <rPr>
        <sz val="10"/>
        <rFont val="Geneva"/>
      </rPr>
      <t>: ángulo horario (radianes)</t>
    </r>
  </si>
  <si>
    <r>
      <t>w</t>
    </r>
    <r>
      <rPr>
        <sz val="10"/>
        <rFont val="Geneva"/>
      </rPr>
      <t>: ángulo horario (grados)</t>
    </r>
  </si>
  <si>
    <t xml:space="preserve">Na (h/día) </t>
  </si>
  <si>
    <t xml:space="preserve">Ra (MJ/m2·día) </t>
  </si>
  <si>
    <t xml:space="preserve">Ra (cal/cm2·día) </t>
  </si>
  <si>
    <t>Corrección distancia Sol-Tierra</t>
  </si>
  <si>
    <t>Radiacion total diaria solar extraterrestre      Ra</t>
  </si>
  <si>
    <t>Ciudad</t>
  </si>
  <si>
    <t>Hemisferio</t>
  </si>
  <si>
    <t>Jl</t>
  </si>
  <si>
    <t>Santander</t>
  </si>
  <si>
    <t>ÍNDICES CLIMÁTICOS</t>
  </si>
  <si>
    <t>Total anual</t>
  </si>
  <si>
    <t>Precipitación verano</t>
  </si>
  <si>
    <t>Meses secos (Martonne)</t>
  </si>
  <si>
    <t>CIUDAD:</t>
  </si>
  <si>
    <t xml:space="preserve">LATITUD: </t>
  </si>
  <si>
    <t>Clasificación de Köppen</t>
  </si>
  <si>
    <t>Clasificación de Font</t>
  </si>
  <si>
    <t>Year</t>
  </si>
  <si>
    <t>CONSUMO ELÉCTRICO</t>
  </si>
  <si>
    <t>De refrigeración</t>
  </si>
  <si>
    <t>De calefacción</t>
  </si>
  <si>
    <t>Para vegetación</t>
  </si>
  <si>
    <t>GRADOS DÍA</t>
  </si>
  <si>
    <t>Temperatura (ºC)</t>
  </si>
  <si>
    <t>DATOS BÁSICOS</t>
  </si>
  <si>
    <t xml:space="preserve">Na (h/mes) </t>
  </si>
  <si>
    <t>MM</t>
  </si>
  <si>
    <t>Hrmin</t>
  </si>
  <si>
    <t>THImax</t>
  </si>
  <si>
    <t>THImd</t>
  </si>
  <si>
    <t>indP</t>
  </si>
  <si>
    <t>indiV</t>
  </si>
  <si>
    <t>Ind_ins</t>
  </si>
  <si>
    <t>indTHImax</t>
  </si>
  <si>
    <t>indTHImd</t>
  </si>
  <si>
    <t>Temperatura media de las máximas ºC</t>
  </si>
  <si>
    <t>Temperatura media ºC</t>
  </si>
  <si>
    <t>Temperatura media de las mínimas ºC</t>
  </si>
  <si>
    <t>Temperatura máxima absoluta ºC</t>
  </si>
  <si>
    <t>Temperatura mínima absoluta ºC</t>
  </si>
  <si>
    <t>Precipitación media mensual mm</t>
  </si>
  <si>
    <t>Humedad relativa media (%)</t>
  </si>
  <si>
    <t>Insolación media mensual (horas)</t>
  </si>
  <si>
    <t>Insolación media diaria (horas)</t>
  </si>
  <si>
    <t>Velocidad del viento</t>
  </si>
  <si>
    <t>CÁLCULOS</t>
  </si>
  <si>
    <t>Helada Segura: Meses con media de las Mínimas &lt;0ºC. Se representa por un segmento ennegrecido.</t>
  </si>
  <si>
    <t>Helada probable: Meses con media de las mínimas &gt;0ºC,pero con mínimas absolutas inferiores a 0ºC. Se representa con un segmento rayado.</t>
  </si>
  <si>
    <t>MAR.</t>
  </si>
  <si>
    <t>ABR.</t>
  </si>
  <si>
    <t>MAY.</t>
  </si>
  <si>
    <t>JUN.</t>
  </si>
  <si>
    <t>JUL.</t>
  </si>
  <si>
    <t>AGO.</t>
  </si>
  <si>
    <t>SEP.</t>
  </si>
  <si>
    <t>OCT.</t>
  </si>
  <si>
    <t>NOV.</t>
  </si>
  <si>
    <t>DIC.</t>
  </si>
  <si>
    <t>Riesgo de Helada</t>
  </si>
  <si>
    <r>
      <t xml:space="preserve">Número de días con precipitación </t>
    </r>
    <r>
      <rPr>
        <sz val="11"/>
        <color theme="1"/>
        <rFont val="Calibri"/>
        <family val="2"/>
      </rPr>
      <t>≥ 0,1 mm</t>
    </r>
  </si>
  <si>
    <t>Month</t>
  </si>
  <si>
    <t>Precipitación media mensual en forma de nieve mm</t>
  </si>
  <si>
    <t>−5.4</t>
  </si>
  <si>
    <t>−5.2</t>
  </si>
  <si>
    <t>−3.5</t>
  </si>
  <si>
    <t>1.4</t>
  </si>
  <si>
    <t>2.8</t>
  </si>
  <si>
    <t>6.0</t>
  </si>
  <si>
    <t>5.6</t>
  </si>
  <si>
    <t>2.6</t>
  </si>
  <si>
    <t>0.6</t>
  </si>
  <si>
    <t>−3.0</t>
  </si>
  <si>
    <t>10.5</t>
  </si>
  <si>
    <t>6.7</t>
  </si>
  <si>
    <t>8.7</t>
  </si>
  <si>
    <t>11.8</t>
  </si>
  <si>
    <t>14.4</t>
  </si>
  <si>
    <t>16.4</t>
  </si>
  <si>
    <t>16.0</t>
  </si>
  <si>
    <t>13.9</t>
  </si>
  <si>
    <t>11.1</t>
  </si>
  <si>
    <t>8.3</t>
  </si>
  <si>
    <t>7.0</t>
  </si>
  <si>
    <t>5.7</t>
  </si>
  <si>
    <t>5.8</t>
  </si>
  <si>
    <t>14.5</t>
  </si>
  <si>
    <t>12.5</t>
  </si>
  <si>
    <t>16.1</t>
  </si>
  <si>
    <t>18.6</t>
  </si>
  <si>
    <t>20.3</t>
  </si>
  <si>
    <t>19.8</t>
  </si>
  <si>
    <t>17.8</t>
  </si>
  <si>
    <t>15.1</t>
  </si>
  <si>
    <t>12.4</t>
  </si>
  <si>
    <t>11.3</t>
  </si>
  <si>
    <t>9.8</t>
  </si>
  <si>
    <t>9.7</t>
  </si>
  <si>
    <t>18.5</t>
  </si>
  <si>
    <t>14.2</t>
  </si>
  <si>
    <t>16.3</t>
  </si>
  <si>
    <t>22.8</t>
  </si>
  <si>
    <t>24.2</t>
  </si>
  <si>
    <t>23.6</t>
  </si>
  <si>
    <t>21.6</t>
  </si>
  <si>
    <t>19.1</t>
  </si>
  <si>
    <t>16.6</t>
  </si>
  <si>
    <t>15.7</t>
  </si>
  <si>
    <t>13.8</t>
  </si>
  <si>
    <t>13.6</t>
  </si>
  <si>
    <t>37.8</t>
  </si>
  <si>
    <t>25.4</t>
  </si>
  <si>
    <t>28.0</t>
  </si>
  <si>
    <t>33.5</t>
  </si>
  <si>
    <t>37.6</t>
  </si>
  <si>
    <t>37.3</t>
  </si>
  <si>
    <t>37.2</t>
  </si>
  <si>
    <t>36.8</t>
  </si>
  <si>
    <t>30.6</t>
  </si>
  <si>
    <t>31.3</t>
  </si>
  <si>
    <t>29.0</t>
  </si>
  <si>
    <t>25.1</t>
  </si>
  <si>
    <t>Climate data for Santander Airport (1981–2010) Record Temperatures (1954–2016)</t>
  </si>
  <si>
    <t>Temperatura del mar (ºC)</t>
  </si>
  <si>
    <t>Índice UV</t>
  </si>
  <si>
    <t>Temperatura del mar ºC</t>
  </si>
  <si>
    <t>ÍNDICE ULTRAVIOLETA</t>
  </si>
  <si>
    <t>Tem media</t>
  </si>
  <si>
    <t>Índice de erosión potencial (k Fournier)</t>
  </si>
  <si>
    <t>Intensidad de la precipitación</t>
  </si>
  <si>
    <t>Días pp</t>
  </si>
  <si>
    <t>PP max 24 h</t>
  </si>
  <si>
    <t>Días de precipitación</t>
  </si>
  <si>
    <t>Factor de concentración de la lluvia máxima diaria</t>
  </si>
  <si>
    <t>Índice de continentalidad de Gorezynski</t>
  </si>
  <si>
    <t>Temperatura máxima absoluta (ºC)</t>
  </si>
  <si>
    <t>Temperatura media de las máximas (ºC)</t>
  </si>
  <si>
    <t>Temperatura media (ºC)</t>
  </si>
  <si>
    <t>Temperatura media de las mínimas (ºC)</t>
  </si>
  <si>
    <t>Temperatura mínima absoluta (ºC)</t>
  </si>
  <si>
    <t>Temperatura del punto de rocío</t>
  </si>
  <si>
    <t>Humedad relativa mínima (%)</t>
  </si>
  <si>
    <t>Presión de vapor (hPa)</t>
  </si>
  <si>
    <t>Precipitación media mensual (mm)</t>
  </si>
  <si>
    <t>Precipitación máxima en 24 horas (mm)</t>
  </si>
  <si>
    <t>Presión a nivel del mar</t>
  </si>
  <si>
    <t>Visibilidad media (km)</t>
  </si>
  <si>
    <t>Velocidad media del viento (m/s)</t>
  </si>
  <si>
    <t>Días de nevada</t>
  </si>
  <si>
    <t>Días de temporal (viento &gt; 57 km/h)</t>
  </si>
  <si>
    <t>Días de niebla</t>
  </si>
  <si>
    <t>Días de ganizo</t>
  </si>
  <si>
    <t>Días de tormenta</t>
  </si>
  <si>
    <t>Días tropicales (Tmax &gt; 25ºC)</t>
  </si>
  <si>
    <t>Noches tropicales (Tmín &gt; 20ºC)</t>
  </si>
  <si>
    <t>Noches con helada (Tmín &lt; 0ºC)</t>
  </si>
  <si>
    <t>EDINBURGH</t>
  </si>
  <si>
    <t>UK</t>
  </si>
  <si>
    <t>EGPH</t>
  </si>
  <si>
    <t>EGLL</t>
  </si>
  <si>
    <t>IT</t>
  </si>
  <si>
    <t>LIRF</t>
  </si>
  <si>
    <t>IN</t>
  </si>
  <si>
    <t>VABB</t>
  </si>
  <si>
    <t>NAIROBI JKIA</t>
  </si>
  <si>
    <t>KE</t>
  </si>
  <si>
    <t>HKJK</t>
  </si>
  <si>
    <t>TULSA INTERNATIONAL AIR</t>
  </si>
  <si>
    <t>US</t>
  </si>
  <si>
    <t>KTUL</t>
  </si>
  <si>
    <t>JOHN F KENNEDY INTERNAT</t>
  </si>
  <si>
    <t>KJFK</t>
  </si>
  <si>
    <t>LE RAIZET</t>
  </si>
  <si>
    <t>GP</t>
  </si>
  <si>
    <t>TFFR</t>
  </si>
  <si>
    <t>CDG</t>
  </si>
  <si>
    <t>ESTACIÓN</t>
  </si>
  <si>
    <t>PAÍS</t>
  </si>
  <si>
    <t>CDG_AEROP</t>
  </si>
  <si>
    <t>LAT</t>
  </si>
  <si>
    <t>LON</t>
  </si>
  <si>
    <t>GRADOS</t>
  </si>
  <si>
    <t>MINUTOS</t>
  </si>
  <si>
    <t>FR</t>
  </si>
  <si>
    <t>AVIGNON/CARPENTRAS</t>
  </si>
  <si>
    <t>LONDRES/HEATHROW</t>
  </si>
  <si>
    <t>ROMA/FIUMICINO</t>
  </si>
  <si>
    <t>MUMBAI/CHHATRAPATI SHIVAJI INT</t>
  </si>
  <si>
    <t>Precipitación media mensual en forma de nieve Cm</t>
  </si>
  <si>
    <t>VALPARAISO/PUNTA ANGELES</t>
  </si>
  <si>
    <t>Días de temporal</t>
  </si>
  <si>
    <t>Tormenta</t>
  </si>
  <si>
    <t>Granizo</t>
  </si>
  <si>
    <r>
      <t xml:space="preserve">Copie los datos correspondientes a su observatorio </t>
    </r>
    <r>
      <rPr>
        <b/>
        <sz val="12"/>
        <color indexed="10"/>
        <rFont val="Geneva"/>
      </rPr>
      <t>SÓLO</t>
    </r>
    <r>
      <rPr>
        <sz val="12"/>
        <rFont val="Geneva"/>
      </rPr>
      <t xml:space="preserve"> en esta hoja de cálculo. Las restantes sólo muestran resultados</t>
    </r>
  </si>
  <si>
    <t>Días tropicales</t>
  </si>
  <si>
    <t>Noches tropicales</t>
  </si>
  <si>
    <t xml:space="preserve">Noches con helada </t>
  </si>
  <si>
    <t>VARIABLE</t>
  </si>
  <si>
    <t>Temperatura del mar ºC (Morgan, 2000)</t>
  </si>
  <si>
    <t>Índice Potencial Turístico (Mieczkowski, 1985)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</si>
</sst>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0.000"/>
    <numFmt numFmtId="166" formatCode="General_)"/>
    <numFmt numFmtId="167" formatCode="#,##0.000"/>
  </numFmts>
  <fonts count="45">
    <font>
      <sz val="10"/>
      <name val="Geneva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Geneva"/>
    </font>
    <font>
      <b/>
      <sz val="10"/>
      <name val="Geneva"/>
    </font>
    <font>
      <u/>
      <sz val="7.5"/>
      <color indexed="12"/>
      <name val="Geneva"/>
    </font>
    <font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2"/>
      <name val="Geneva"/>
    </font>
    <font>
      <u/>
      <sz val="10"/>
      <color indexed="12"/>
      <name val="Geneva"/>
    </font>
    <font>
      <b/>
      <sz val="10"/>
      <color indexed="12"/>
      <name val="Geneva"/>
    </font>
    <font>
      <b/>
      <sz val="10"/>
      <color indexed="12"/>
      <name val="Arial"/>
      <family val="2"/>
    </font>
    <font>
      <b/>
      <sz val="8"/>
      <color indexed="8"/>
      <name val="Times New Roman"/>
      <family val="1"/>
    </font>
    <font>
      <sz val="9"/>
      <name val="Geneva"/>
    </font>
    <font>
      <sz val="10"/>
      <color indexed="10"/>
      <name val="Geneva"/>
    </font>
    <font>
      <b/>
      <sz val="10"/>
      <color indexed="52"/>
      <name val="Geneva"/>
    </font>
    <font>
      <sz val="8"/>
      <name val="Geneva"/>
    </font>
    <font>
      <b/>
      <sz val="10"/>
      <color indexed="17"/>
      <name val="Geneva"/>
    </font>
    <font>
      <sz val="11"/>
      <name val="Arial"/>
      <family val="2"/>
    </font>
    <font>
      <sz val="10"/>
      <name val="Geneva"/>
    </font>
    <font>
      <b/>
      <i/>
      <sz val="12"/>
      <name val="Arial"/>
      <family val="2"/>
    </font>
    <font>
      <sz val="12"/>
      <name val="Arial"/>
      <family val="2"/>
    </font>
    <font>
      <b/>
      <i/>
      <sz val="10"/>
      <name val="Arial"/>
      <family val="2"/>
    </font>
    <font>
      <b/>
      <sz val="12"/>
      <color indexed="10"/>
      <name val="Geneva"/>
    </font>
    <font>
      <sz val="14"/>
      <name val="Arial"/>
      <family val="2"/>
    </font>
    <font>
      <sz val="12"/>
      <name val="Helv"/>
    </font>
    <font>
      <sz val="9"/>
      <name val="Verdana"/>
      <family val="2"/>
    </font>
    <font>
      <b/>
      <sz val="9"/>
      <name val="Verdana"/>
      <family val="2"/>
    </font>
    <font>
      <b/>
      <sz val="14"/>
      <name val="Verdana"/>
      <family val="2"/>
    </font>
    <font>
      <sz val="10"/>
      <name val="Tahoma"/>
      <family val="2"/>
    </font>
    <font>
      <u/>
      <sz val="9"/>
      <color indexed="12"/>
      <name val="Verdana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FFFFFF"/>
      <name val="Calibri"/>
      <family val="2"/>
      <scheme val="minor"/>
    </font>
    <font>
      <sz val="11"/>
      <color theme="1"/>
      <name val="Calibri"/>
      <family val="2"/>
    </font>
    <font>
      <u/>
      <sz val="11"/>
      <color theme="1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Arial"/>
      <family val="2"/>
    </font>
    <font>
      <b/>
      <sz val="12"/>
      <color theme="1"/>
      <name val="Calibri"/>
      <family val="2"/>
      <scheme val="minor"/>
    </font>
    <font>
      <b/>
      <sz val="10"/>
      <name val="Calibri"/>
      <family val="2"/>
      <scheme val="minor"/>
    </font>
  </fonts>
  <fills count="124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42"/>
        <b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4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00"/>
        <bgColor indexed="26"/>
      </patternFill>
    </fill>
    <fill>
      <patternFill patternType="solid">
        <fgColor theme="4" tint="0.79998168889431442"/>
        <bgColor indexed="27"/>
      </patternFill>
    </fill>
    <fill>
      <patternFill patternType="solid">
        <fgColor theme="4" tint="0.79998168889431442"/>
        <bgColor indexed="26"/>
      </patternFill>
    </fill>
    <fill>
      <patternFill patternType="solid">
        <fgColor theme="6" tint="0.79998168889431442"/>
        <bgColor indexed="27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C8CFF"/>
        <bgColor indexed="64"/>
      </patternFill>
    </fill>
    <fill>
      <patternFill patternType="solid">
        <fgColor rgb="FF7B7BFF"/>
        <bgColor indexed="64"/>
      </patternFill>
    </fill>
    <fill>
      <patternFill patternType="solid">
        <fgColor rgb="FF9292FF"/>
        <bgColor indexed="64"/>
      </patternFill>
    </fill>
    <fill>
      <patternFill patternType="solid">
        <fgColor rgb="FF8A8AFF"/>
        <bgColor indexed="64"/>
      </patternFill>
    </fill>
    <fill>
      <patternFill patternType="solid">
        <fgColor rgb="FFFFF7EF"/>
        <bgColor indexed="64"/>
      </patternFill>
    </fill>
    <fill>
      <patternFill patternType="solid">
        <fgColor rgb="FFEEEEFF"/>
        <bgColor indexed="64"/>
      </patternFill>
    </fill>
    <fill>
      <patternFill patternType="solid">
        <fgColor rgb="FFF5F5FF"/>
        <bgColor indexed="64"/>
      </patternFill>
    </fill>
    <fill>
      <patternFill patternType="solid">
        <fgColor rgb="FFFFBE7D"/>
        <bgColor indexed="64"/>
      </patternFill>
    </fill>
    <fill>
      <patternFill patternType="solid">
        <fgColor rgb="FFFFE2C5"/>
        <bgColor indexed="64"/>
      </patternFill>
    </fill>
    <fill>
      <patternFill patternType="solid">
        <fgColor rgb="FFFFD0A1"/>
        <bgColor indexed="64"/>
      </patternFill>
    </fill>
    <fill>
      <patternFill patternType="solid">
        <fgColor rgb="FFFFB164"/>
        <bgColor indexed="64"/>
      </patternFill>
    </fill>
    <fill>
      <patternFill patternType="solid">
        <fgColor rgb="FFFF9E3E"/>
        <bgColor indexed="64"/>
      </patternFill>
    </fill>
    <fill>
      <patternFill patternType="solid">
        <fgColor rgb="FFFFAC5A"/>
        <bgColor indexed="64"/>
      </patternFill>
    </fill>
    <fill>
      <patternFill patternType="solid">
        <fgColor rgb="FFFFE4CA"/>
        <bgColor indexed="64"/>
      </patternFill>
    </fill>
    <fill>
      <patternFill patternType="solid">
        <fgColor rgb="FFFFD1A4"/>
        <bgColor indexed="64"/>
      </patternFill>
    </fill>
    <fill>
      <patternFill patternType="solid">
        <fgColor rgb="FFFFBC79"/>
        <bgColor indexed="64"/>
      </patternFill>
    </fill>
    <fill>
      <patternFill patternType="solid">
        <fgColor rgb="FFFFAB58"/>
        <bgColor indexed="64"/>
      </patternFill>
    </fill>
    <fill>
      <patternFill patternType="solid">
        <fgColor rgb="FFFF9D3C"/>
        <bgColor indexed="64"/>
      </patternFill>
    </fill>
    <fill>
      <patternFill patternType="solid">
        <fgColor rgb="FFFF4600"/>
        <bgColor indexed="64"/>
      </patternFill>
    </fill>
    <fill>
      <patternFill patternType="solid">
        <fgColor rgb="FFFF8002"/>
        <bgColor indexed="64"/>
      </patternFill>
    </fill>
    <fill>
      <patternFill patternType="solid">
        <fgColor rgb="FFFFAF60"/>
        <bgColor indexed="64"/>
      </patternFill>
    </fill>
    <fill>
      <patternFill patternType="solid">
        <fgColor rgb="FFD3D300"/>
        <bgColor indexed="64"/>
      </patternFill>
    </fill>
    <fill>
      <patternFill patternType="solid">
        <fgColor rgb="FF0000DB"/>
        <bgColor indexed="64"/>
      </patternFill>
    </fill>
    <fill>
      <patternFill patternType="solid">
        <fgColor rgb="FF0000DF"/>
        <bgColor indexed="64"/>
      </patternFill>
    </fill>
    <fill>
      <patternFill patternType="solid">
        <fgColor rgb="FF0000EE"/>
        <bgColor indexed="64"/>
      </patternFill>
    </fill>
    <fill>
      <patternFill patternType="solid">
        <fgColor rgb="FF0000E2"/>
        <bgColor indexed="64"/>
      </patternFill>
    </fill>
    <fill>
      <patternFill patternType="solid">
        <fgColor rgb="FF0D0DFF"/>
        <bgColor indexed="64"/>
      </patternFill>
    </fill>
    <fill>
      <patternFill patternType="solid">
        <fgColor rgb="FF6161FF"/>
        <bgColor indexed="64"/>
      </patternFill>
    </fill>
    <fill>
      <patternFill patternType="solid">
        <fgColor rgb="FFFFA347"/>
        <bgColor indexed="64"/>
      </patternFill>
    </fill>
    <fill>
      <patternFill patternType="solid">
        <fgColor rgb="FFFF7B00"/>
        <bgColor indexed="64"/>
      </patternFill>
    </fill>
    <fill>
      <patternFill patternType="solid">
        <fgColor rgb="FFFF5600"/>
        <bgColor indexed="64"/>
      </patternFill>
    </fill>
    <fill>
      <patternFill patternType="solid">
        <fgColor rgb="FFCBCB00"/>
        <bgColor indexed="64"/>
      </patternFill>
    </fill>
    <fill>
      <patternFill patternType="solid">
        <fgColor rgb="FFA8A8FF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rgb="FF7D7DFF"/>
        <bgColor indexed="64"/>
      </patternFill>
    </fill>
    <fill>
      <patternFill patternType="solid">
        <fgColor rgb="FFA5A5FF"/>
        <bgColor indexed="64"/>
      </patternFill>
    </fill>
    <fill>
      <patternFill patternType="solid">
        <fgColor rgb="FFFF952C"/>
        <bgColor indexed="64"/>
      </patternFill>
    </fill>
    <fill>
      <patternFill patternType="solid">
        <fgColor rgb="FFFFB56C"/>
        <bgColor indexed="64"/>
      </patternFill>
    </fill>
    <fill>
      <patternFill patternType="solid">
        <fgColor rgb="FFFFAF5F"/>
        <bgColor indexed="64"/>
      </patternFill>
    </fill>
    <fill>
      <patternFill patternType="solid">
        <fgColor rgb="FFFFCC9A"/>
        <bgColor indexed="64"/>
      </patternFill>
    </fill>
    <fill>
      <patternFill patternType="solid">
        <fgColor rgb="FFFF5D00"/>
        <bgColor indexed="64"/>
      </patternFill>
    </fill>
    <fill>
      <patternFill patternType="solid">
        <fgColor rgb="FFD1D100"/>
        <bgColor indexed="64"/>
      </patternFill>
    </fill>
    <fill>
      <patternFill patternType="solid">
        <fgColor rgb="FF0000EA"/>
        <bgColor indexed="64"/>
      </patternFill>
    </fill>
    <fill>
      <patternFill patternType="solid">
        <fgColor rgb="FFB1B1FF"/>
        <bgColor indexed="64"/>
      </patternFill>
    </fill>
    <fill>
      <patternFill patternType="solid">
        <fgColor rgb="FFD3D3FF"/>
        <bgColor indexed="64"/>
      </patternFill>
    </fill>
    <fill>
      <patternFill patternType="solid">
        <fgColor rgb="FFFF7700"/>
        <bgColor indexed="64"/>
      </patternFill>
    </fill>
    <fill>
      <patternFill patternType="solid">
        <fgColor rgb="FFEBEB03"/>
        <bgColor indexed="64"/>
      </patternFill>
    </fill>
    <fill>
      <patternFill patternType="solid">
        <fgColor rgb="FFCECE00"/>
        <bgColor indexed="64"/>
      </patternFill>
    </fill>
    <fill>
      <patternFill patternType="solid">
        <fgColor rgb="FF5959FF"/>
        <bgColor indexed="64"/>
      </patternFill>
    </fill>
    <fill>
      <patternFill patternType="solid">
        <fgColor rgb="FFFFDAB5"/>
        <bgColor indexed="64"/>
      </patternFill>
    </fill>
    <fill>
      <patternFill patternType="solid">
        <fgColor rgb="FFFF9A35"/>
        <bgColor indexed="64"/>
      </patternFill>
    </fill>
    <fill>
      <patternFill patternType="solid">
        <fgColor rgb="FFFF6E00"/>
        <bgColor indexed="64"/>
      </patternFill>
    </fill>
    <fill>
      <patternFill patternType="solid">
        <fgColor rgb="FFBFBF29"/>
        <bgColor indexed="64"/>
      </patternFill>
    </fill>
    <fill>
      <patternFill patternType="solid">
        <fgColor rgb="FF878787"/>
        <bgColor indexed="64"/>
      </patternFill>
    </fill>
    <fill>
      <patternFill patternType="solid">
        <fgColor rgb="FFABABA1"/>
        <bgColor indexed="64"/>
      </patternFill>
    </fill>
    <fill>
      <patternFill patternType="solid">
        <fgColor rgb="FFBABA47"/>
        <bgColor indexed="64"/>
      </patternFill>
    </fill>
    <fill>
      <patternFill patternType="solid">
        <fgColor rgb="FFD4D400"/>
        <bgColor indexed="64"/>
      </patternFill>
    </fill>
    <fill>
      <patternFill patternType="solid">
        <fgColor rgb="FFC5C502"/>
        <bgColor indexed="64"/>
      </patternFill>
    </fill>
    <fill>
      <patternFill patternType="solid">
        <fgColor rgb="FFBDBD36"/>
        <bgColor indexed="64"/>
      </patternFill>
    </fill>
    <fill>
      <patternFill patternType="solid">
        <fgColor rgb="FFB3B370"/>
        <bgColor indexed="64"/>
      </patternFill>
    </fill>
    <fill>
      <patternFill patternType="solid">
        <fgColor rgb="FF9B9B9B"/>
        <bgColor indexed="64"/>
      </patternFill>
    </fill>
    <fill>
      <patternFill patternType="solid">
        <fgColor rgb="FF0000E6"/>
        <bgColor indexed="64"/>
      </patternFill>
    </fill>
    <fill>
      <patternFill patternType="solid">
        <fgColor rgb="FF6A6AFF"/>
        <bgColor indexed="64"/>
      </patternFill>
    </fill>
    <fill>
      <patternFill patternType="solid">
        <fgColor rgb="FF7777FF"/>
        <bgColor indexed="64"/>
      </patternFill>
    </fill>
    <fill>
      <patternFill patternType="solid">
        <fgColor rgb="FF9C9CFF"/>
        <bgColor indexed="64"/>
      </patternFill>
    </fill>
    <fill>
      <patternFill patternType="solid">
        <fgColor rgb="FF8383FF"/>
        <bgColor indexed="64"/>
      </patternFill>
    </fill>
    <fill>
      <patternFill patternType="solid">
        <fgColor rgb="FF6666FF"/>
        <bgColor indexed="64"/>
      </patternFill>
    </fill>
    <fill>
      <patternFill patternType="solid">
        <fgColor rgb="FF7070FF"/>
        <bgColor indexed="64"/>
      </patternFill>
    </fill>
    <fill>
      <patternFill patternType="solid">
        <fgColor rgb="FF4F4FFF"/>
        <bgColor indexed="64"/>
      </patternFill>
    </fill>
    <fill>
      <patternFill patternType="solid">
        <fgColor rgb="FF4C4CFF"/>
        <bgColor indexed="64"/>
      </patternFill>
    </fill>
    <fill>
      <patternFill patternType="solid">
        <fgColor rgb="FF7F7FFF"/>
        <bgColor indexed="64"/>
      </patternFill>
    </fill>
    <fill>
      <patternFill patternType="solid">
        <fgColor rgb="FF6868FF"/>
        <bgColor indexed="64"/>
      </patternFill>
    </fill>
    <fill>
      <patternFill patternType="solid">
        <fgColor rgb="FFC9C9FF"/>
        <bgColor indexed="64"/>
      </patternFill>
    </fill>
    <fill>
      <patternFill patternType="solid">
        <fgColor rgb="FFCACAFF"/>
        <bgColor indexed="64"/>
      </patternFill>
    </fill>
    <fill>
      <patternFill patternType="solid">
        <fgColor rgb="FFFFF4EA"/>
        <bgColor indexed="64"/>
      </patternFill>
    </fill>
    <fill>
      <patternFill patternType="solid">
        <fgColor rgb="FFF4F4FF"/>
        <bgColor indexed="64"/>
      </patternFill>
    </fill>
    <fill>
      <patternFill patternType="solid">
        <fgColor rgb="FFE9E9FF"/>
        <bgColor indexed="64"/>
      </patternFill>
    </fill>
    <fill>
      <patternFill patternType="solid">
        <fgColor rgb="FFD6D6FF"/>
        <bgColor indexed="64"/>
      </patternFill>
    </fill>
    <fill>
      <patternFill patternType="solid">
        <fgColor rgb="FFFFD5AC"/>
        <bgColor indexed="64"/>
      </patternFill>
    </fill>
    <fill>
      <patternFill patternType="solid">
        <fgColor rgb="FFFFEFE0"/>
        <bgColor indexed="64"/>
      </patternFill>
    </fill>
    <fill>
      <patternFill patternType="solid">
        <fgColor rgb="FFFFBA76"/>
        <bgColor indexed="64"/>
      </patternFill>
    </fill>
    <fill>
      <patternFill patternType="solid">
        <fgColor rgb="FFFFEDDC"/>
        <bgColor indexed="64"/>
      </patternFill>
    </fill>
    <fill>
      <patternFill patternType="solid">
        <fgColor rgb="FFFFF6EE"/>
        <bgColor indexed="64"/>
      </patternFill>
    </fill>
    <fill>
      <patternFill patternType="solid">
        <fgColor rgb="FFFFF6ED"/>
        <bgColor indexed="64"/>
      </patternFill>
    </fill>
    <fill>
      <patternFill patternType="solid">
        <fgColor rgb="FFFFBA75"/>
        <bgColor indexed="64"/>
      </patternFill>
    </fill>
    <fill>
      <patternFill patternType="solid">
        <fgColor rgb="FFFFC790"/>
        <bgColor indexed="64"/>
      </patternFill>
    </fill>
    <fill>
      <patternFill patternType="solid">
        <fgColor rgb="FFFF9225"/>
        <bgColor indexed="64"/>
      </patternFill>
    </fill>
    <fill>
      <patternFill patternType="solid">
        <fgColor rgb="FFFFC892"/>
        <bgColor indexed="64"/>
      </patternFill>
    </fill>
    <fill>
      <patternFill patternType="solid">
        <fgColor rgb="FFFFDBB7"/>
        <bgColor indexed="64"/>
      </patternFill>
    </fill>
    <fill>
      <patternFill patternType="solid">
        <fgColor rgb="FFFFAD5C"/>
        <bgColor indexed="64"/>
      </patternFill>
    </fill>
    <fill>
      <patternFill patternType="solid">
        <fgColor rgb="FFFF8913"/>
        <bgColor indexed="64"/>
      </patternFill>
    </fill>
    <fill>
      <patternFill patternType="solid">
        <fgColor rgb="FFFFBE7E"/>
        <bgColor indexed="64"/>
      </patternFill>
    </fill>
    <fill>
      <patternFill patternType="solid">
        <fgColor rgb="FFFFC081"/>
        <bgColor indexed="64"/>
      </patternFill>
    </fill>
    <fill>
      <patternFill patternType="solid">
        <fgColor rgb="FFFF1900"/>
        <bgColor indexed="64"/>
      </patternFill>
    </fill>
    <fill>
      <patternFill patternType="solid">
        <fgColor rgb="FFFF3700"/>
        <bgColor indexed="64"/>
      </patternFill>
    </fill>
    <fill>
      <patternFill patternType="solid">
        <fgColor rgb="FFFF1A00"/>
        <bgColor indexed="64"/>
      </patternFill>
    </fill>
    <fill>
      <patternFill patternType="solid">
        <fgColor rgb="FFFF1C00"/>
        <bgColor indexed="64"/>
      </patternFill>
    </fill>
    <fill>
      <patternFill patternType="solid">
        <fgColor rgb="FFFF1D00"/>
        <bgColor indexed="64"/>
      </patternFill>
    </fill>
    <fill>
      <patternFill patternType="solid">
        <fgColor rgb="FFFF2000"/>
        <bgColor indexed="64"/>
      </patternFill>
    </fill>
    <fill>
      <patternFill patternType="solid">
        <fgColor rgb="FFFF4B00"/>
        <bgColor indexed="64"/>
      </patternFill>
    </fill>
    <fill>
      <patternFill patternType="solid">
        <fgColor rgb="FFFF7100"/>
        <bgColor indexed="64"/>
      </patternFill>
    </fill>
    <fill>
      <patternFill patternType="solid">
        <fgColor rgb="FFFFFFCC"/>
        <bgColor indexed="26"/>
      </patternFill>
    </fill>
    <fill>
      <patternFill patternType="solid">
        <fgColor rgb="FFFFFFCC"/>
        <bgColor indexed="27"/>
      </patternFill>
    </fill>
  </fills>
  <borders count="46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0">
    <xf numFmtId="0" fontId="0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0" fontId="3" fillId="0" borderId="0"/>
    <xf numFmtId="166" fontId="28" fillId="0" borderId="0"/>
    <xf numFmtId="0" fontId="3" fillId="0" borderId="0"/>
    <xf numFmtId="0" fontId="3" fillId="0" borderId="0"/>
    <xf numFmtId="0" fontId="22" fillId="0" borderId="0"/>
    <xf numFmtId="0" fontId="2" fillId="0" borderId="0"/>
    <xf numFmtId="0" fontId="40" fillId="0" borderId="0" applyNumberFormat="0" applyFill="0" applyBorder="0" applyAlignment="0" applyProtection="0"/>
  </cellStyleXfs>
  <cellXfs count="397">
    <xf numFmtId="0" fontId="0" fillId="0" borderId="0" xfId="0"/>
    <xf numFmtId="0" fontId="0" fillId="2" borderId="0" xfId="0" applyFill="1"/>
    <xf numFmtId="0" fontId="3" fillId="2" borderId="0" xfId="6" applyFill="1"/>
    <xf numFmtId="0" fontId="3" fillId="3" borderId="3" xfId="6" applyFill="1" applyBorder="1"/>
    <xf numFmtId="0" fontId="7" fillId="2" borderId="3" xfId="6" applyFont="1" applyFill="1" applyBorder="1" applyProtection="1">
      <protection locked="0"/>
    </xf>
    <xf numFmtId="0" fontId="3" fillId="2" borderId="3" xfId="6" applyFill="1" applyBorder="1"/>
    <xf numFmtId="0" fontId="7" fillId="3" borderId="3" xfId="6" applyFont="1" applyFill="1" applyBorder="1"/>
    <xf numFmtId="0" fontId="7" fillId="2" borderId="4" xfId="6" applyFont="1" applyFill="1" applyBorder="1" applyProtection="1">
      <protection locked="0"/>
    </xf>
    <xf numFmtId="0" fontId="10" fillId="2" borderId="6" xfId="6" applyFont="1" applyFill="1" applyBorder="1" applyAlignment="1">
      <alignment horizontal="right"/>
    </xf>
    <xf numFmtId="0" fontId="8" fillId="2" borderId="0" xfId="6" applyFont="1" applyFill="1" applyBorder="1"/>
    <xf numFmtId="0" fontId="3" fillId="2" borderId="0" xfId="6" applyFill="1" applyBorder="1"/>
    <xf numFmtId="0" fontId="9" fillId="2" borderId="0" xfId="6" applyFont="1" applyFill="1" applyBorder="1" applyAlignment="1">
      <alignment horizontal="right"/>
    </xf>
    <xf numFmtId="0" fontId="8" fillId="3" borderId="7" xfId="6" applyFont="1" applyFill="1" applyBorder="1"/>
    <xf numFmtId="0" fontId="10" fillId="2" borderId="9" xfId="6" applyFont="1" applyFill="1" applyBorder="1" applyAlignment="1">
      <alignment horizontal="right"/>
    </xf>
    <xf numFmtId="0" fontId="8" fillId="2" borderId="0" xfId="6" applyFont="1" applyFill="1"/>
    <xf numFmtId="0" fontId="9" fillId="2" borderId="0" xfId="6" applyFont="1" applyFill="1"/>
    <xf numFmtId="0" fontId="3" fillId="2" borderId="0" xfId="6" applyFill="1" applyBorder="1" applyAlignment="1">
      <alignment horizontal="right"/>
    </xf>
    <xf numFmtId="0" fontId="5" fillId="4" borderId="2" xfId="0" applyFont="1" applyFill="1" applyBorder="1"/>
    <xf numFmtId="0" fontId="0" fillId="4" borderId="4" xfId="0" applyFill="1" applyBorder="1"/>
    <xf numFmtId="0" fontId="0" fillId="4" borderId="10" xfId="0" applyFill="1" applyBorder="1" applyAlignment="1">
      <alignment horizontal="center"/>
    </xf>
    <xf numFmtId="0" fontId="13" fillId="4" borderId="11" xfId="0" applyFont="1" applyFill="1" applyBorder="1" applyAlignment="1">
      <alignment horizontal="right"/>
    </xf>
    <xf numFmtId="0" fontId="0" fillId="4" borderId="11" xfId="0" applyFont="1" applyFill="1" applyBorder="1" applyAlignment="1">
      <alignment horizontal="right"/>
    </xf>
    <xf numFmtId="0" fontId="0" fillId="4" borderId="12" xfId="0" applyFont="1" applyFill="1" applyBorder="1" applyAlignment="1">
      <alignment horizontal="right"/>
    </xf>
    <xf numFmtId="0" fontId="0" fillId="0" borderId="0" xfId="0" applyFill="1"/>
    <xf numFmtId="0" fontId="0" fillId="0" borderId="0" xfId="0" applyFill="1" applyAlignment="1">
      <alignment horizontal="center"/>
    </xf>
    <xf numFmtId="2" fontId="0" fillId="0" borderId="0" xfId="0" applyNumberFormat="1" applyFill="1" applyAlignment="1">
      <alignment horizontal="center"/>
    </xf>
    <xf numFmtId="0" fontId="11" fillId="0" borderId="2" xfId="0" applyFont="1" applyFill="1" applyBorder="1" applyAlignment="1">
      <alignment horizontal="left"/>
    </xf>
    <xf numFmtId="0" fontId="0" fillId="0" borderId="3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12" fillId="0" borderId="0" xfId="1" applyNumberFormat="1" applyFont="1" applyFill="1" applyBorder="1" applyAlignment="1" applyProtection="1">
      <alignment horizontal="left"/>
    </xf>
    <xf numFmtId="0" fontId="0" fillId="0" borderId="0" xfId="0" applyFont="1" applyFill="1" applyAlignment="1">
      <alignment horizontal="center"/>
    </xf>
    <xf numFmtId="0" fontId="6" fillId="0" borderId="0" xfId="1" applyNumberFormat="1" applyFont="1" applyFill="1" applyBorder="1" applyAlignment="1" applyProtection="1">
      <alignment horizontal="center"/>
    </xf>
    <xf numFmtId="0" fontId="13" fillId="0" borderId="0" xfId="0" applyFont="1" applyFill="1" applyAlignment="1">
      <alignment horizontal="center"/>
    </xf>
    <xf numFmtId="0" fontId="13" fillId="0" borderId="0" xfId="0" applyFont="1" applyFill="1" applyAlignment="1">
      <alignment horizontal="right"/>
    </xf>
    <xf numFmtId="0" fontId="13" fillId="0" borderId="13" xfId="0" applyFont="1" applyFill="1" applyBorder="1" applyAlignment="1" applyProtection="1">
      <alignment horizontal="center"/>
      <protection locked="0"/>
    </xf>
    <xf numFmtId="0" fontId="0" fillId="0" borderId="14" xfId="0" applyFill="1" applyBorder="1" applyAlignment="1">
      <alignment horizontal="center"/>
    </xf>
    <xf numFmtId="2" fontId="5" fillId="0" borderId="15" xfId="0" applyNumberFormat="1" applyFont="1" applyFill="1" applyBorder="1" applyAlignment="1">
      <alignment horizontal="center"/>
    </xf>
    <xf numFmtId="0" fontId="13" fillId="0" borderId="16" xfId="0" applyFont="1" applyFill="1" applyBorder="1"/>
    <xf numFmtId="164" fontId="14" fillId="0" borderId="16" xfId="6" applyNumberFormat="1" applyFont="1" applyFill="1" applyBorder="1" applyAlignment="1" applyProtection="1">
      <alignment horizontal="center"/>
      <protection locked="0"/>
    </xf>
    <xf numFmtId="0" fontId="13" fillId="0" borderId="16" xfId="0" applyFont="1" applyFill="1" applyBorder="1" applyAlignment="1">
      <alignment horizontal="center"/>
    </xf>
    <xf numFmtId="2" fontId="5" fillId="0" borderId="17" xfId="0" applyNumberFormat="1" applyFont="1" applyFill="1" applyBorder="1" applyAlignment="1">
      <alignment horizontal="center"/>
    </xf>
    <xf numFmtId="0" fontId="0" fillId="0" borderId="16" xfId="0" applyFill="1" applyBorder="1"/>
    <xf numFmtId="2" fontId="0" fillId="0" borderId="16" xfId="0" applyNumberFormat="1" applyFill="1" applyBorder="1" applyAlignment="1">
      <alignment horizontal="center"/>
    </xf>
    <xf numFmtId="164" fontId="0" fillId="0" borderId="16" xfId="0" applyNumberFormat="1" applyFont="1" applyFill="1" applyBorder="1" applyAlignment="1">
      <alignment horizontal="center"/>
    </xf>
    <xf numFmtId="0" fontId="5" fillId="0" borderId="3" xfId="0" applyFont="1" applyFill="1" applyBorder="1" applyAlignment="1">
      <alignment horizontal="right"/>
    </xf>
    <xf numFmtId="0" fontId="5" fillId="0" borderId="4" xfId="0" applyFont="1" applyFill="1" applyBorder="1"/>
    <xf numFmtId="164" fontId="0" fillId="0" borderId="16" xfId="0" applyNumberFormat="1" applyFill="1" applyBorder="1" applyAlignment="1">
      <alignment horizontal="center"/>
    </xf>
    <xf numFmtId="0" fontId="0" fillId="0" borderId="16" xfId="0" applyFont="1" applyFill="1" applyBorder="1" applyAlignment="1">
      <alignment horizontal="center"/>
    </xf>
    <xf numFmtId="0" fontId="13" fillId="0" borderId="0" xfId="0" applyFont="1" applyFill="1" applyBorder="1" applyAlignment="1">
      <alignment wrapText="1"/>
    </xf>
    <xf numFmtId="164" fontId="13" fillId="0" borderId="16" xfId="0" applyNumberFormat="1" applyFont="1" applyFill="1" applyBorder="1" applyAlignment="1">
      <alignment horizontal="center"/>
    </xf>
    <xf numFmtId="0" fontId="16" fillId="0" borderId="16" xfId="0" applyFont="1" applyFill="1" applyBorder="1"/>
    <xf numFmtId="164" fontId="5" fillId="0" borderId="16" xfId="0" applyNumberFormat="1" applyFont="1" applyFill="1" applyBorder="1" applyAlignment="1">
      <alignment horizontal="center"/>
    </xf>
    <xf numFmtId="164" fontId="5" fillId="0" borderId="17" xfId="0" applyNumberFormat="1" applyFont="1" applyFill="1" applyBorder="1" applyAlignment="1">
      <alignment horizontal="center"/>
    </xf>
    <xf numFmtId="0" fontId="17" fillId="0" borderId="0" xfId="0" applyFont="1" applyFill="1"/>
    <xf numFmtId="0" fontId="5" fillId="0" borderId="16" xfId="0" applyFont="1" applyFill="1" applyBorder="1" applyAlignment="1">
      <alignment horizontal="center"/>
    </xf>
    <xf numFmtId="164" fontId="14" fillId="0" borderId="18" xfId="6" applyNumberFormat="1" applyFont="1" applyFill="1" applyBorder="1" applyAlignment="1" applyProtection="1">
      <alignment horizontal="center"/>
      <protection locked="0"/>
    </xf>
    <xf numFmtId="0" fontId="18" fillId="0" borderId="0" xfId="0" applyFont="1" applyFill="1"/>
    <xf numFmtId="0" fontId="0" fillId="0" borderId="16" xfId="0" applyFill="1" applyBorder="1" applyAlignment="1">
      <alignment horizontal="center"/>
    </xf>
    <xf numFmtId="0" fontId="0" fillId="0" borderId="18" xfId="0" applyFill="1" applyBorder="1"/>
    <xf numFmtId="164" fontId="0" fillId="0" borderId="18" xfId="0" applyNumberFormat="1" applyFill="1" applyBorder="1" applyAlignment="1">
      <alignment horizontal="center"/>
    </xf>
    <xf numFmtId="164" fontId="0" fillId="0" borderId="18" xfId="0" applyNumberFormat="1" applyFont="1" applyFill="1" applyBorder="1" applyAlignment="1">
      <alignment horizontal="center"/>
    </xf>
    <xf numFmtId="164" fontId="5" fillId="0" borderId="19" xfId="0" applyNumberFormat="1" applyFont="1" applyFill="1" applyBorder="1" applyAlignment="1">
      <alignment horizontal="center"/>
    </xf>
    <xf numFmtId="0" fontId="0" fillId="0" borderId="0" xfId="0" applyFont="1" applyFill="1"/>
    <xf numFmtId="0" fontId="19" fillId="0" borderId="0" xfId="0" applyFont="1" applyFill="1"/>
    <xf numFmtId="0" fontId="19" fillId="0" borderId="0" xfId="0" applyFont="1" applyFill="1" applyAlignment="1">
      <alignment horizontal="center"/>
    </xf>
    <xf numFmtId="2" fontId="19" fillId="0" borderId="0" xfId="0" applyNumberFormat="1" applyFont="1" applyFill="1" applyAlignment="1">
      <alignment horizontal="center"/>
    </xf>
    <xf numFmtId="164" fontId="19" fillId="0" borderId="0" xfId="0" applyNumberFormat="1" applyFont="1" applyFill="1"/>
    <xf numFmtId="164" fontId="19" fillId="0" borderId="0" xfId="0" applyNumberFormat="1" applyFont="1" applyFill="1" applyAlignment="1">
      <alignment horizontal="center"/>
    </xf>
    <xf numFmtId="0" fontId="20" fillId="0" borderId="0" xfId="0" applyFont="1" applyFill="1"/>
    <xf numFmtId="0" fontId="3" fillId="0" borderId="0" xfId="6"/>
    <xf numFmtId="0" fontId="3" fillId="4" borderId="16" xfId="6" applyFill="1" applyBorder="1"/>
    <xf numFmtId="0" fontId="3" fillId="0" borderId="0" xfId="6" applyFill="1"/>
    <xf numFmtId="0" fontId="21" fillId="0" borderId="0" xfId="6" applyFont="1" applyBorder="1" applyAlignment="1">
      <alignment horizontal="center" wrapText="1"/>
    </xf>
    <xf numFmtId="0" fontId="21" fillId="0" borderId="0" xfId="6" applyFont="1" applyBorder="1" applyAlignment="1">
      <alignment horizontal="center" vertical="top" wrapText="1"/>
    </xf>
    <xf numFmtId="0" fontId="23" fillId="5" borderId="0" xfId="3" applyFont="1" applyFill="1"/>
    <xf numFmtId="0" fontId="24" fillId="5" borderId="0" xfId="3" applyFont="1" applyFill="1"/>
    <xf numFmtId="0" fontId="3" fillId="5" borderId="0" xfId="3" applyFill="1"/>
    <xf numFmtId="0" fontId="25" fillId="5" borderId="0" xfId="3" applyFont="1" applyFill="1"/>
    <xf numFmtId="0" fontId="3" fillId="0" borderId="0" xfId="3"/>
    <xf numFmtId="0" fontId="23" fillId="0" borderId="0" xfId="3" applyFont="1" applyFill="1"/>
    <xf numFmtId="0" fontId="24" fillId="0" borderId="0" xfId="3" applyFont="1" applyFill="1"/>
    <xf numFmtId="0" fontId="3" fillId="0" borderId="0" xfId="3" applyFill="1"/>
    <xf numFmtId="0" fontId="25" fillId="0" borderId="0" xfId="3" applyFont="1"/>
    <xf numFmtId="164" fontId="3" fillId="0" borderId="0" xfId="3" applyNumberFormat="1"/>
    <xf numFmtId="0" fontId="23" fillId="7" borderId="0" xfId="3" applyFont="1" applyFill="1"/>
    <xf numFmtId="2" fontId="0" fillId="0" borderId="0" xfId="0" applyNumberFormat="1" applyProtection="1"/>
    <xf numFmtId="2" fontId="0" fillId="0" borderId="0" xfId="0" applyNumberFormat="1" applyProtection="1">
      <protection locked="0"/>
    </xf>
    <xf numFmtId="0" fontId="23" fillId="0" borderId="0" xfId="0" applyFont="1" applyFill="1"/>
    <xf numFmtId="0" fontId="24" fillId="0" borderId="0" xfId="0" applyFont="1" applyFill="1"/>
    <xf numFmtId="0" fontId="0" fillId="5" borderId="0" xfId="0" applyFill="1"/>
    <xf numFmtId="0" fontId="25" fillId="5" borderId="0" xfId="0" applyFont="1" applyFill="1"/>
    <xf numFmtId="0" fontId="24" fillId="5" borderId="0" xfId="0" applyFont="1" applyFill="1"/>
    <xf numFmtId="0" fontId="23" fillId="5" borderId="0" xfId="0" applyFont="1" applyFill="1"/>
    <xf numFmtId="0" fontId="0" fillId="2" borderId="0" xfId="0" applyFill="1" applyAlignment="1">
      <alignment horizontal="left" vertical="center"/>
    </xf>
    <xf numFmtId="0" fontId="3" fillId="0" borderId="0" xfId="6" applyFill="1" applyBorder="1"/>
    <xf numFmtId="0" fontId="3" fillId="11" borderId="0" xfId="6" applyFill="1" applyBorder="1"/>
    <xf numFmtId="0" fontId="3" fillId="12" borderId="0" xfId="6" applyFill="1" applyBorder="1"/>
    <xf numFmtId="0" fontId="3" fillId="13" borderId="5" xfId="6" applyFill="1" applyBorder="1"/>
    <xf numFmtId="0" fontId="3" fillId="13" borderId="6" xfId="6" applyFill="1" applyBorder="1"/>
    <xf numFmtId="0" fontId="3" fillId="14" borderId="0" xfId="6" applyFill="1" applyBorder="1"/>
    <xf numFmtId="0" fontId="3" fillId="14" borderId="20" xfId="6" applyFont="1" applyFill="1" applyBorder="1"/>
    <xf numFmtId="0" fontId="3" fillId="14" borderId="8" xfId="6" applyFill="1" applyBorder="1"/>
    <xf numFmtId="0" fontId="27" fillId="3" borderId="2" xfId="6" applyFont="1" applyFill="1" applyBorder="1"/>
    <xf numFmtId="0" fontId="27" fillId="3" borderId="3" xfId="6" applyFont="1" applyFill="1" applyBorder="1"/>
    <xf numFmtId="0" fontId="10" fillId="3" borderId="3" xfId="6" applyFont="1" applyFill="1" applyBorder="1"/>
    <xf numFmtId="0" fontId="9" fillId="3" borderId="2" xfId="6" applyFont="1" applyFill="1" applyBorder="1"/>
    <xf numFmtId="0" fontId="9" fillId="3" borderId="21" xfId="6" applyFont="1" applyFill="1" applyBorder="1"/>
    <xf numFmtId="0" fontId="9" fillId="11" borderId="22" xfId="6" applyFont="1" applyFill="1" applyBorder="1"/>
    <xf numFmtId="0" fontId="24" fillId="11" borderId="23" xfId="6" applyFont="1" applyFill="1" applyBorder="1"/>
    <xf numFmtId="0" fontId="24" fillId="12" borderId="23" xfId="6" applyFont="1" applyFill="1" applyBorder="1"/>
    <xf numFmtId="0" fontId="3" fillId="11" borderId="23" xfId="6" applyFill="1" applyBorder="1"/>
    <xf numFmtId="0" fontId="3" fillId="12" borderId="23" xfId="6" applyFill="1" applyBorder="1"/>
    <xf numFmtId="0" fontId="3" fillId="12" borderId="24" xfId="6" applyFill="1" applyBorder="1"/>
    <xf numFmtId="0" fontId="3" fillId="12" borderId="26" xfId="6" applyFill="1" applyBorder="1"/>
    <xf numFmtId="0" fontId="3" fillId="12" borderId="28" xfId="6" applyFill="1" applyBorder="1"/>
    <xf numFmtId="0" fontId="3" fillId="11" borderId="28" xfId="6" applyFill="1" applyBorder="1"/>
    <xf numFmtId="0" fontId="3" fillId="12" borderId="29" xfId="6" applyFill="1" applyBorder="1"/>
    <xf numFmtId="0" fontId="24" fillId="0" borderId="0" xfId="6" applyFont="1" applyFill="1" applyBorder="1"/>
    <xf numFmtId="0" fontId="24" fillId="0" borderId="0" xfId="6" applyFont="1" applyFill="1" applyBorder="1" applyAlignment="1">
      <alignment horizontal="right"/>
    </xf>
    <xf numFmtId="0" fontId="24" fillId="13" borderId="5" xfId="6" applyFont="1" applyFill="1" applyBorder="1"/>
    <xf numFmtId="0" fontId="24" fillId="13" borderId="30" xfId="6" applyFont="1" applyFill="1" applyBorder="1"/>
    <xf numFmtId="0" fontId="24" fillId="13" borderId="0" xfId="6" applyFont="1" applyFill="1" applyBorder="1"/>
    <xf numFmtId="0" fontId="24" fillId="14" borderId="0" xfId="6" applyFont="1" applyFill="1" applyBorder="1"/>
    <xf numFmtId="0" fontId="3" fillId="15" borderId="0" xfId="6" applyFill="1"/>
    <xf numFmtId="0" fontId="24" fillId="13" borderId="7" xfId="6" applyFont="1" applyFill="1" applyBorder="1"/>
    <xf numFmtId="0" fontId="24" fillId="13" borderId="8" xfId="6" applyFont="1" applyFill="1" applyBorder="1"/>
    <xf numFmtId="0" fontId="24" fillId="14" borderId="8" xfId="6" applyFont="1" applyFill="1" applyBorder="1"/>
    <xf numFmtId="0" fontId="3" fillId="14" borderId="9" xfId="6" applyFill="1" applyBorder="1"/>
    <xf numFmtId="0" fontId="24" fillId="0" borderId="0" xfId="6" applyFont="1" applyFill="1"/>
    <xf numFmtId="0" fontId="3" fillId="0" borderId="26" xfId="6" applyFill="1" applyBorder="1"/>
    <xf numFmtId="0" fontId="22" fillId="0" borderId="0" xfId="7"/>
    <xf numFmtId="0" fontId="29" fillId="9" borderId="31" xfId="7" applyFont="1" applyFill="1" applyBorder="1"/>
    <xf numFmtId="0" fontId="30" fillId="9" borderId="31" xfId="7" applyFont="1" applyFill="1" applyBorder="1"/>
    <xf numFmtId="0" fontId="22" fillId="9" borderId="31" xfId="7" applyFill="1" applyBorder="1"/>
    <xf numFmtId="0" fontId="31" fillId="9" borderId="31" xfId="7" applyFont="1" applyFill="1" applyBorder="1"/>
    <xf numFmtId="0" fontId="29" fillId="8" borderId="31" xfId="7" applyFont="1" applyFill="1" applyBorder="1"/>
    <xf numFmtId="0" fontId="30" fillId="8" borderId="31" xfId="7" applyFont="1" applyFill="1" applyBorder="1"/>
    <xf numFmtId="0" fontId="22" fillId="8" borderId="31" xfId="7" applyFill="1" applyBorder="1"/>
    <xf numFmtId="0" fontId="31" fillId="8" borderId="31" xfId="7" applyFont="1" applyFill="1" applyBorder="1"/>
    <xf numFmtId="2" fontId="29" fillId="6" borderId="31" xfId="5" applyNumberFormat="1" applyFont="1" applyFill="1" applyBorder="1"/>
    <xf numFmtId="0" fontId="29" fillId="6" borderId="31" xfId="5" applyFont="1" applyFill="1" applyBorder="1"/>
    <xf numFmtId="0" fontId="30" fillId="6" borderId="31" xfId="5" applyFont="1" applyFill="1" applyBorder="1" applyAlignment="1">
      <alignment horizontal="left"/>
    </xf>
    <xf numFmtId="164" fontId="32" fillId="6" borderId="31" xfId="5" applyNumberFormat="1" applyFont="1" applyFill="1" applyBorder="1"/>
    <xf numFmtId="2" fontId="30" fillId="6" borderId="32" xfId="5" applyNumberFormat="1" applyFont="1" applyFill="1" applyBorder="1" applyAlignment="1">
      <alignment horizontal="center"/>
    </xf>
    <xf numFmtId="0" fontId="30" fillId="6" borderId="32" xfId="5" applyFont="1" applyFill="1" applyBorder="1" applyAlignment="1">
      <alignment horizontal="center"/>
    </xf>
    <xf numFmtId="0" fontId="29" fillId="6" borderId="31" xfId="5" applyFont="1" applyFill="1" applyBorder="1" applyAlignment="1">
      <alignment horizontal="center"/>
    </xf>
    <xf numFmtId="0" fontId="29" fillId="6" borderId="31" xfId="5" applyFont="1" applyFill="1" applyBorder="1" applyAlignment="1">
      <alignment horizontal="left"/>
    </xf>
    <xf numFmtId="2" fontId="29" fillId="6" borderId="33" xfId="5" applyNumberFormat="1" applyFont="1" applyFill="1" applyBorder="1"/>
    <xf numFmtId="0" fontId="29" fillId="6" borderId="34" xfId="5" applyFont="1" applyFill="1" applyBorder="1"/>
    <xf numFmtId="0" fontId="33" fillId="6" borderId="34" xfId="2" applyFont="1" applyFill="1" applyBorder="1" applyAlignment="1" applyProtection="1"/>
    <xf numFmtId="0" fontId="31" fillId="6" borderId="35" xfId="5" applyFont="1" applyFill="1" applyBorder="1"/>
    <xf numFmtId="0" fontId="9" fillId="0" borderId="0" xfId="3" applyFont="1" applyFill="1"/>
    <xf numFmtId="165" fontId="3" fillId="0" borderId="0" xfId="3" applyNumberFormat="1" applyFill="1" applyProtection="1">
      <protection locked="0"/>
    </xf>
    <xf numFmtId="1" fontId="3" fillId="0" borderId="0" xfId="3" applyNumberFormat="1" applyFill="1" applyProtection="1">
      <protection locked="0"/>
    </xf>
    <xf numFmtId="165" fontId="3" fillId="0" borderId="0" xfId="3" applyNumberFormat="1" applyFill="1"/>
    <xf numFmtId="2" fontId="3" fillId="0" borderId="0" xfId="3" applyNumberFormat="1" applyFill="1" applyProtection="1"/>
    <xf numFmtId="2" fontId="3" fillId="0" borderId="0" xfId="3" applyNumberFormat="1" applyFill="1" applyProtection="1">
      <protection locked="0"/>
    </xf>
    <xf numFmtId="164" fontId="3" fillId="0" borderId="0" xfId="3" applyNumberFormat="1" applyFill="1" applyProtection="1">
      <protection locked="0"/>
    </xf>
    <xf numFmtId="0" fontId="3" fillId="0" borderId="0" xfId="3" applyFill="1" applyProtection="1"/>
    <xf numFmtId="2" fontId="3" fillId="0" borderId="0" xfId="3" applyNumberFormat="1" applyFill="1" applyAlignment="1" applyProtection="1">
      <alignment horizontal="center"/>
    </xf>
    <xf numFmtId="0" fontId="9" fillId="0" borderId="0" xfId="0" applyFont="1" applyFill="1"/>
    <xf numFmtId="0" fontId="5" fillId="16" borderId="0" xfId="0" applyFont="1" applyFill="1"/>
    <xf numFmtId="0" fontId="34" fillId="0" borderId="0" xfId="0" applyFont="1"/>
    <xf numFmtId="0" fontId="34" fillId="0" borderId="0" xfId="0" applyFont="1" applyFill="1"/>
    <xf numFmtId="0" fontId="34" fillId="20" borderId="22" xfId="0" applyFont="1" applyFill="1" applyBorder="1"/>
    <xf numFmtId="164" fontId="34" fillId="20" borderId="23" xfId="0" applyNumberFormat="1" applyFont="1" applyFill="1" applyBorder="1"/>
    <xf numFmtId="164" fontId="34" fillId="20" borderId="24" xfId="0" applyNumberFormat="1" applyFont="1" applyFill="1" applyBorder="1"/>
    <xf numFmtId="0" fontId="34" fillId="20" borderId="25" xfId="0" applyFont="1" applyFill="1" applyBorder="1"/>
    <xf numFmtId="164" fontId="34" fillId="20" borderId="0" xfId="0" applyNumberFormat="1" applyFont="1" applyFill="1" applyBorder="1"/>
    <xf numFmtId="164" fontId="34" fillId="20" borderId="26" xfId="0" applyNumberFormat="1" applyFont="1" applyFill="1" applyBorder="1"/>
    <xf numFmtId="0" fontId="34" fillId="20" borderId="0" xfId="0" applyFont="1" applyFill="1" applyBorder="1" applyProtection="1"/>
    <xf numFmtId="0" fontId="34" fillId="20" borderId="26" xfId="0" applyFont="1" applyFill="1" applyBorder="1" applyProtection="1"/>
    <xf numFmtId="0" fontId="34" fillId="20" borderId="27" xfId="0" applyFont="1" applyFill="1" applyBorder="1"/>
    <xf numFmtId="0" fontId="34" fillId="20" borderId="28" xfId="0" applyFont="1" applyFill="1" applyBorder="1" applyProtection="1"/>
    <xf numFmtId="0" fontId="34" fillId="20" borderId="29" xfId="0" applyFont="1" applyFill="1" applyBorder="1" applyProtection="1"/>
    <xf numFmtId="1" fontId="35" fillId="0" borderId="0" xfId="0" applyNumberFormat="1" applyFont="1" applyAlignment="1">
      <alignment horizontal="center"/>
    </xf>
    <xf numFmtId="0" fontId="35" fillId="17" borderId="22" xfId="0" applyFont="1" applyFill="1" applyBorder="1"/>
    <xf numFmtId="0" fontId="0" fillId="0" borderId="23" xfId="0" applyBorder="1"/>
    <xf numFmtId="0" fontId="35" fillId="17" borderId="25" xfId="0" applyFont="1" applyFill="1" applyBorder="1"/>
    <xf numFmtId="0" fontId="34" fillId="17" borderId="0" xfId="0" applyFont="1" applyFill="1" applyBorder="1"/>
    <xf numFmtId="0" fontId="35" fillId="19" borderId="27" xfId="0" applyFont="1" applyFill="1" applyBorder="1"/>
    <xf numFmtId="164" fontId="34" fillId="19" borderId="28" xfId="0" applyNumberFormat="1" applyFont="1" applyFill="1" applyBorder="1"/>
    <xf numFmtId="164" fontId="34" fillId="19" borderId="29" xfId="0" applyNumberFormat="1" applyFont="1" applyFill="1" applyBorder="1"/>
    <xf numFmtId="0" fontId="35" fillId="17" borderId="36" xfId="0" applyFont="1" applyFill="1" applyBorder="1"/>
    <xf numFmtId="0" fontId="34" fillId="17" borderId="37" xfId="0" applyFont="1" applyFill="1" applyBorder="1"/>
    <xf numFmtId="0" fontId="34" fillId="17" borderId="23" xfId="0" applyFont="1" applyFill="1" applyBorder="1"/>
    <xf numFmtId="0" fontId="34" fillId="19" borderId="28" xfId="0" applyFont="1" applyFill="1" applyBorder="1"/>
    <xf numFmtId="0" fontId="4" fillId="0" borderId="0" xfId="0" applyFont="1" applyFill="1"/>
    <xf numFmtId="0" fontId="4" fillId="0" borderId="1" xfId="0" applyFont="1" applyFill="1" applyBorder="1"/>
    <xf numFmtId="0" fontId="4" fillId="0" borderId="2" xfId="0" applyFont="1" applyFill="1" applyBorder="1" applyProtection="1">
      <protection locked="0"/>
    </xf>
    <xf numFmtId="0" fontId="4" fillId="0" borderId="3" xfId="0" applyFont="1" applyFill="1" applyBorder="1"/>
    <xf numFmtId="0" fontId="4" fillId="0" borderId="4" xfId="0" applyFont="1" applyFill="1" applyBorder="1"/>
    <xf numFmtId="0" fontId="4" fillId="0" borderId="1" xfId="0" applyNumberFormat="1" applyFont="1" applyFill="1" applyBorder="1" applyProtection="1">
      <protection locked="0"/>
    </xf>
    <xf numFmtId="0" fontId="4" fillId="0" borderId="1" xfId="0" applyFont="1" applyFill="1" applyBorder="1" applyProtection="1">
      <protection locked="0"/>
    </xf>
    <xf numFmtId="0" fontId="4" fillId="0" borderId="2" xfId="0" applyFont="1" applyFill="1" applyBorder="1"/>
    <xf numFmtId="0" fontId="0" fillId="0" borderId="4" xfId="0" applyFill="1" applyBorder="1"/>
    <xf numFmtId="0" fontId="5" fillId="0" borderId="1" xfId="0" applyFont="1" applyFill="1" applyBorder="1" applyAlignment="1">
      <alignment horizontal="center"/>
    </xf>
    <xf numFmtId="0" fontId="4" fillId="0" borderId="1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6" fillId="0" borderId="0" xfId="1" applyNumberFormat="1" applyFill="1" applyBorder="1" applyAlignment="1" applyProtection="1"/>
    <xf numFmtId="0" fontId="2" fillId="0" borderId="0" xfId="8"/>
    <xf numFmtId="0" fontId="37" fillId="21" borderId="0" xfId="8" applyFont="1" applyFill="1" applyAlignment="1">
      <alignment horizontal="center" vertical="center" wrapText="1"/>
    </xf>
    <xf numFmtId="0" fontId="37" fillId="22" borderId="0" xfId="8" applyFont="1" applyFill="1" applyAlignment="1">
      <alignment horizontal="center" vertical="center" wrapText="1"/>
    </xf>
    <xf numFmtId="0" fontId="37" fillId="23" borderId="0" xfId="8" applyFont="1" applyFill="1" applyAlignment="1">
      <alignment horizontal="center" vertical="center" wrapText="1"/>
    </xf>
    <xf numFmtId="0" fontId="37" fillId="24" borderId="0" xfId="8" applyFont="1" applyFill="1" applyAlignment="1">
      <alignment horizontal="center" vertical="center" wrapText="1"/>
    </xf>
    <xf numFmtId="0" fontId="37" fillId="25" borderId="0" xfId="8" applyFont="1" applyFill="1" applyAlignment="1">
      <alignment horizontal="center" vertical="center" wrapText="1"/>
    </xf>
    <xf numFmtId="0" fontId="37" fillId="26" borderId="0" xfId="8" applyFont="1" applyFill="1" applyAlignment="1">
      <alignment horizontal="center" vertical="center" wrapText="1"/>
    </xf>
    <xf numFmtId="0" fontId="37" fillId="27" borderId="0" xfId="8" applyFont="1" applyFill="1" applyAlignment="1">
      <alignment horizontal="center" vertical="center" wrapText="1"/>
    </xf>
    <xf numFmtId="0" fontId="37" fillId="28" borderId="0" xfId="8" applyFont="1" applyFill="1" applyAlignment="1">
      <alignment horizontal="center" vertical="center" wrapText="1"/>
    </xf>
    <xf numFmtId="0" fontId="37" fillId="29" borderId="0" xfId="8" applyFont="1" applyFill="1" applyAlignment="1">
      <alignment horizontal="center" vertical="center" wrapText="1"/>
    </xf>
    <xf numFmtId="0" fontId="37" fillId="30" borderId="0" xfId="8" applyFont="1" applyFill="1" applyAlignment="1">
      <alignment horizontal="center" vertical="center" wrapText="1"/>
    </xf>
    <xf numFmtId="0" fontId="37" fillId="31" borderId="0" xfId="8" applyFont="1" applyFill="1" applyAlignment="1">
      <alignment horizontal="center" vertical="center" wrapText="1"/>
    </xf>
    <xf numFmtId="0" fontId="37" fillId="32" borderId="0" xfId="8" applyFont="1" applyFill="1" applyAlignment="1">
      <alignment horizontal="center" vertical="center" wrapText="1"/>
    </xf>
    <xf numFmtId="0" fontId="37" fillId="33" borderId="0" xfId="8" applyFont="1" applyFill="1" applyAlignment="1">
      <alignment horizontal="center" vertical="center" wrapText="1"/>
    </xf>
    <xf numFmtId="0" fontId="37" fillId="34" borderId="0" xfId="8" applyFont="1" applyFill="1" applyAlignment="1">
      <alignment horizontal="center" vertical="center" wrapText="1"/>
    </xf>
    <xf numFmtId="0" fontId="37" fillId="35" borderId="0" xfId="8" applyFont="1" applyFill="1" applyAlignment="1">
      <alignment horizontal="center" vertical="center" wrapText="1"/>
    </xf>
    <xf numFmtId="0" fontId="37" fillId="36" borderId="0" xfId="8" applyFont="1" applyFill="1" applyAlignment="1">
      <alignment horizontal="center" vertical="center" wrapText="1"/>
    </xf>
    <xf numFmtId="0" fontId="37" fillId="37" borderId="0" xfId="8" applyFont="1" applyFill="1" applyAlignment="1">
      <alignment horizontal="center" vertical="center" wrapText="1"/>
    </xf>
    <xf numFmtId="0" fontId="37" fillId="38" borderId="0" xfId="8" applyFont="1" applyFill="1" applyAlignment="1">
      <alignment horizontal="center" vertical="center" wrapText="1"/>
    </xf>
    <xf numFmtId="0" fontId="37" fillId="39" borderId="0" xfId="8" applyFont="1" applyFill="1" applyAlignment="1">
      <alignment horizontal="center" vertical="center" wrapText="1"/>
    </xf>
    <xf numFmtId="0" fontId="37" fillId="40" borderId="0" xfId="8" applyFont="1" applyFill="1" applyAlignment="1">
      <alignment horizontal="center" vertical="center" wrapText="1"/>
    </xf>
    <xf numFmtId="0" fontId="37" fillId="41" borderId="0" xfId="8" applyFont="1" applyFill="1" applyAlignment="1">
      <alignment horizontal="center" vertical="center" wrapText="1"/>
    </xf>
    <xf numFmtId="0" fontId="36" fillId="0" borderId="0" xfId="8" applyFont="1" applyAlignment="1">
      <alignment horizontal="center" vertical="center" wrapText="1"/>
    </xf>
    <xf numFmtId="0" fontId="37" fillId="42" borderId="0" xfId="8" applyFont="1" applyFill="1" applyAlignment="1">
      <alignment horizontal="center" vertical="center" wrapText="1"/>
    </xf>
    <xf numFmtId="0" fontId="38" fillId="43" borderId="0" xfId="8" applyFont="1" applyFill="1" applyAlignment="1">
      <alignment horizontal="center" vertical="center" wrapText="1"/>
    </xf>
    <xf numFmtId="0" fontId="38" fillId="44" borderId="0" xfId="8" applyFont="1" applyFill="1" applyAlignment="1">
      <alignment horizontal="center" vertical="center" wrapText="1"/>
    </xf>
    <xf numFmtId="0" fontId="38" fillId="45" borderId="0" xfId="8" applyFont="1" applyFill="1" applyAlignment="1">
      <alignment horizontal="center" vertical="center" wrapText="1"/>
    </xf>
    <xf numFmtId="0" fontId="38" fillId="46" borderId="0" xfId="8" applyFont="1" applyFill="1" applyAlignment="1">
      <alignment horizontal="center" vertical="center" wrapText="1"/>
    </xf>
    <xf numFmtId="0" fontId="38" fillId="47" borderId="0" xfId="8" applyFont="1" applyFill="1" applyAlignment="1">
      <alignment horizontal="center" vertical="center" wrapText="1"/>
    </xf>
    <xf numFmtId="0" fontId="38" fillId="48" borderId="0" xfId="8" applyFont="1" applyFill="1" applyAlignment="1">
      <alignment horizontal="center" vertical="center" wrapText="1"/>
    </xf>
    <xf numFmtId="0" fontId="37" fillId="49" borderId="0" xfId="8" applyFont="1" applyFill="1" applyAlignment="1">
      <alignment horizontal="center" vertical="center" wrapText="1"/>
    </xf>
    <xf numFmtId="0" fontId="37" fillId="50" borderId="0" xfId="8" applyFont="1" applyFill="1" applyAlignment="1">
      <alignment horizontal="center" vertical="center" wrapText="1"/>
    </xf>
    <xf numFmtId="0" fontId="37" fillId="51" borderId="0" xfId="8" applyFont="1" applyFill="1" applyAlignment="1">
      <alignment horizontal="center" vertical="center" wrapText="1"/>
    </xf>
    <xf numFmtId="0" fontId="37" fillId="62" borderId="0" xfId="8" applyFont="1" applyFill="1" applyAlignment="1">
      <alignment horizontal="center" vertical="center" wrapText="1"/>
    </xf>
    <xf numFmtId="0" fontId="38" fillId="63" borderId="0" xfId="8" applyFont="1" applyFill="1" applyAlignment="1">
      <alignment horizontal="center" vertical="center" wrapText="1"/>
    </xf>
    <xf numFmtId="0" fontId="37" fillId="64" borderId="0" xfId="8" applyFont="1" applyFill="1" applyAlignment="1">
      <alignment horizontal="center" vertical="center" wrapText="1"/>
    </xf>
    <xf numFmtId="0" fontId="37" fillId="65" borderId="0" xfId="8" applyFont="1" applyFill="1" applyAlignment="1">
      <alignment horizontal="center" vertical="center" wrapText="1"/>
    </xf>
    <xf numFmtId="0" fontId="37" fillId="66" borderId="0" xfId="8" applyFont="1" applyFill="1" applyAlignment="1">
      <alignment horizontal="center" vertical="center" wrapText="1"/>
    </xf>
    <xf numFmtId="0" fontId="37" fillId="52" borderId="0" xfId="8" applyFont="1" applyFill="1" applyAlignment="1">
      <alignment horizontal="center" vertical="center" wrapText="1"/>
    </xf>
    <xf numFmtId="0" fontId="37" fillId="68" borderId="0" xfId="8" applyFont="1" applyFill="1" applyAlignment="1">
      <alignment horizontal="center" vertical="center" wrapText="1"/>
    </xf>
    <xf numFmtId="0" fontId="38" fillId="69" borderId="0" xfId="8" applyFont="1" applyFill="1" applyAlignment="1">
      <alignment horizontal="center" vertical="center" wrapText="1"/>
    </xf>
    <xf numFmtId="0" fontId="37" fillId="70" borderId="0" xfId="8" applyFont="1" applyFill="1" applyAlignment="1">
      <alignment horizontal="center" vertical="center" wrapText="1"/>
    </xf>
    <xf numFmtId="0" fontId="37" fillId="71" borderId="0" xfId="8" applyFont="1" applyFill="1" applyAlignment="1">
      <alignment horizontal="center" vertical="center" wrapText="1"/>
    </xf>
    <xf numFmtId="0" fontId="37" fillId="72" borderId="0" xfId="8" applyFont="1" applyFill="1" applyAlignment="1">
      <alignment horizontal="center" vertical="center" wrapText="1"/>
    </xf>
    <xf numFmtId="0" fontId="37" fillId="61" borderId="0" xfId="8" applyFont="1" applyFill="1" applyAlignment="1">
      <alignment horizontal="center" vertical="center" wrapText="1"/>
    </xf>
    <xf numFmtId="164" fontId="37" fillId="67" borderId="0" xfId="8" applyNumberFormat="1" applyFont="1" applyFill="1" applyAlignment="1">
      <alignment horizontal="center" vertical="center" wrapText="1"/>
    </xf>
    <xf numFmtId="0" fontId="37" fillId="73" borderId="0" xfId="8" applyFont="1" applyFill="1" applyAlignment="1">
      <alignment horizontal="center" vertical="center" wrapText="1"/>
    </xf>
    <xf numFmtId="0" fontId="38" fillId="74" borderId="0" xfId="8" applyFont="1" applyFill="1" applyAlignment="1">
      <alignment horizontal="center" vertical="center" wrapText="1"/>
    </xf>
    <xf numFmtId="0" fontId="37" fillId="75" borderId="0" xfId="8" applyFont="1" applyFill="1" applyAlignment="1">
      <alignment horizontal="center" vertical="center" wrapText="1"/>
    </xf>
    <xf numFmtId="0" fontId="37" fillId="76" borderId="0" xfId="8" applyFont="1" applyFill="1" applyAlignment="1">
      <alignment horizontal="center" vertical="center" wrapText="1"/>
    </xf>
    <xf numFmtId="0" fontId="37" fillId="77" borderId="0" xfId="8" applyFont="1" applyFill="1" applyAlignment="1">
      <alignment horizontal="center" vertical="center" wrapText="1"/>
    </xf>
    <xf numFmtId="0" fontId="37" fillId="78" borderId="0" xfId="8" applyFont="1" applyFill="1" applyAlignment="1">
      <alignment horizontal="center" vertical="center" wrapText="1"/>
    </xf>
    <xf numFmtId="0" fontId="37" fillId="79" borderId="0" xfId="8" applyFont="1" applyFill="1" applyAlignment="1">
      <alignment horizontal="center" vertical="center" wrapText="1"/>
    </xf>
    <xf numFmtId="0" fontId="37" fillId="80" borderId="0" xfId="8" applyFont="1" applyFill="1" applyAlignment="1">
      <alignment horizontal="center" vertical="center" wrapText="1"/>
    </xf>
    <xf numFmtId="0" fontId="37" fillId="81" borderId="0" xfId="8" applyFont="1" applyFill="1" applyAlignment="1">
      <alignment horizontal="center" vertical="center" wrapText="1"/>
    </xf>
    <xf numFmtId="0" fontId="38" fillId="82" borderId="0" xfId="8" applyFont="1" applyFill="1" applyAlignment="1">
      <alignment horizontal="center" vertical="center" wrapText="1"/>
    </xf>
    <xf numFmtId="0" fontId="37" fillId="55" borderId="0" xfId="8" applyFont="1" applyFill="1" applyAlignment="1">
      <alignment horizontal="center" vertical="center" wrapText="1"/>
    </xf>
    <xf numFmtId="0" fontId="37" fillId="83" borderId="0" xfId="8" applyFont="1" applyFill="1" applyAlignment="1">
      <alignment horizontal="center" vertical="center" wrapText="1"/>
    </xf>
    <xf numFmtId="0" fontId="37" fillId="84" borderId="0" xfId="8" applyFont="1" applyFill="1" applyAlignment="1">
      <alignment horizontal="center" vertical="center" wrapText="1"/>
    </xf>
    <xf numFmtId="0" fontId="37" fillId="85" borderId="0" xfId="8" applyFont="1" applyFill="1" applyAlignment="1">
      <alignment horizontal="center" vertical="center" wrapText="1"/>
    </xf>
    <xf numFmtId="0" fontId="37" fillId="53" borderId="0" xfId="8" applyFont="1" applyFill="1" applyAlignment="1">
      <alignment horizontal="center" vertical="center" wrapText="1"/>
    </xf>
    <xf numFmtId="0" fontId="37" fillId="54" borderId="0" xfId="8" applyFont="1" applyFill="1" applyAlignment="1">
      <alignment horizontal="center" vertical="center" wrapText="1"/>
    </xf>
    <xf numFmtId="0" fontId="37" fillId="86" borderId="0" xfId="8" applyFont="1" applyFill="1" applyAlignment="1">
      <alignment horizontal="center" vertical="center" wrapText="1"/>
    </xf>
    <xf numFmtId="0" fontId="38" fillId="87" borderId="0" xfId="8" applyFont="1" applyFill="1" applyAlignment="1">
      <alignment horizontal="center" vertical="center" wrapText="1"/>
    </xf>
    <xf numFmtId="0" fontId="38" fillId="88" borderId="0" xfId="8" applyFont="1" applyFill="1" applyAlignment="1">
      <alignment horizontal="center" vertical="center" wrapText="1"/>
    </xf>
    <xf numFmtId="0" fontId="38" fillId="89" borderId="0" xfId="8" applyFont="1" applyFill="1" applyAlignment="1">
      <alignment horizontal="center" vertical="center" wrapText="1"/>
    </xf>
    <xf numFmtId="0" fontId="38" fillId="90" borderId="0" xfId="8" applyFont="1" applyFill="1" applyAlignment="1">
      <alignment horizontal="center" vertical="center" wrapText="1"/>
    </xf>
    <xf numFmtId="0" fontId="37" fillId="91" borderId="0" xfId="8" applyFont="1" applyFill="1" applyAlignment="1">
      <alignment horizontal="center" vertical="center" wrapText="1"/>
    </xf>
    <xf numFmtId="0" fontId="37" fillId="56" borderId="0" xfId="8" applyFont="1" applyFill="1" applyAlignment="1">
      <alignment horizontal="center" vertical="center" wrapText="1"/>
    </xf>
    <xf numFmtId="0" fontId="38" fillId="92" borderId="0" xfId="8" applyFont="1" applyFill="1" applyAlignment="1">
      <alignment horizontal="center" vertical="center" wrapText="1"/>
    </xf>
    <xf numFmtId="0" fontId="37" fillId="93" borderId="0" xfId="8" applyFont="1" applyFill="1" applyAlignment="1">
      <alignment horizontal="center" vertical="center" wrapText="1"/>
    </xf>
    <xf numFmtId="0" fontId="37" fillId="94" borderId="0" xfId="8" applyFont="1" applyFill="1" applyAlignment="1">
      <alignment horizontal="center" vertical="center" wrapText="1"/>
    </xf>
    <xf numFmtId="0" fontId="37" fillId="95" borderId="0" xfId="8" applyFont="1" applyFill="1" applyAlignment="1">
      <alignment horizontal="center" vertical="center" wrapText="1"/>
    </xf>
    <xf numFmtId="0" fontId="37" fillId="96" borderId="0" xfId="8" applyFont="1" applyFill="1" applyAlignment="1">
      <alignment horizontal="center" vertical="center" wrapText="1"/>
    </xf>
    <xf numFmtId="0" fontId="37" fillId="97" borderId="0" xfId="8" applyFont="1" applyFill="1" applyAlignment="1">
      <alignment horizontal="center" vertical="center" wrapText="1"/>
    </xf>
    <xf numFmtId="0" fontId="37" fillId="98" borderId="0" xfId="8" applyFont="1" applyFill="1" applyAlignment="1">
      <alignment horizontal="center" vertical="center" wrapText="1"/>
    </xf>
    <xf numFmtId="0" fontId="37" fillId="99" borderId="0" xfId="8" applyFont="1" applyFill="1" applyAlignment="1">
      <alignment horizontal="center" vertical="center" wrapText="1"/>
    </xf>
    <xf numFmtId="0" fontId="37" fillId="100" borderId="0" xfId="8" applyFont="1" applyFill="1" applyAlignment="1">
      <alignment horizontal="center" vertical="center" wrapText="1"/>
    </xf>
    <xf numFmtId="0" fontId="37" fillId="60" borderId="0" xfId="8" applyFont="1" applyFill="1" applyAlignment="1">
      <alignment horizontal="center" vertical="center" wrapText="1"/>
    </xf>
    <xf numFmtId="0" fontId="37" fillId="101" borderId="0" xfId="8" applyFont="1" applyFill="1" applyAlignment="1">
      <alignment horizontal="center" vertical="center" wrapText="1"/>
    </xf>
    <xf numFmtId="0" fontId="37" fillId="102" borderId="0" xfId="8" applyFont="1" applyFill="1" applyAlignment="1">
      <alignment horizontal="center" vertical="center" wrapText="1"/>
    </xf>
    <xf numFmtId="0" fontId="37" fillId="103" borderId="0" xfId="8" applyFont="1" applyFill="1" applyAlignment="1">
      <alignment horizontal="center" vertical="center" wrapText="1"/>
    </xf>
    <xf numFmtId="0" fontId="37" fillId="104" borderId="0" xfId="8" applyFont="1" applyFill="1" applyAlignment="1">
      <alignment horizontal="center" vertical="center" wrapText="1"/>
    </xf>
    <xf numFmtId="0" fontId="37" fillId="105" borderId="0" xfId="8" applyFont="1" applyFill="1" applyAlignment="1">
      <alignment horizontal="center" vertical="center" wrapText="1"/>
    </xf>
    <xf numFmtId="0" fontId="37" fillId="106" borderId="0" xfId="8" applyFont="1" applyFill="1" applyAlignment="1">
      <alignment horizontal="center" vertical="center" wrapText="1"/>
    </xf>
    <xf numFmtId="0" fontId="37" fillId="59" borderId="0" xfId="8" applyFont="1" applyFill="1" applyAlignment="1">
      <alignment horizontal="center" vertical="center" wrapText="1"/>
    </xf>
    <xf numFmtId="0" fontId="37" fillId="107" borderId="0" xfId="8" applyFont="1" applyFill="1" applyAlignment="1">
      <alignment horizontal="center" vertical="center" wrapText="1"/>
    </xf>
    <xf numFmtId="0" fontId="37" fillId="57" borderId="0" xfId="8" applyFont="1" applyFill="1" applyAlignment="1">
      <alignment horizontal="center" vertical="center" wrapText="1"/>
    </xf>
    <xf numFmtId="0" fontId="37" fillId="58" borderId="0" xfId="8" applyFont="1" applyFill="1" applyAlignment="1">
      <alignment horizontal="center" vertical="center" wrapText="1"/>
    </xf>
    <xf numFmtId="0" fontId="37" fillId="108" borderId="0" xfId="8" applyFont="1" applyFill="1" applyAlignment="1">
      <alignment horizontal="center" vertical="center" wrapText="1"/>
    </xf>
    <xf numFmtId="0" fontId="37" fillId="109" borderId="0" xfId="8" applyFont="1" applyFill="1" applyAlignment="1">
      <alignment horizontal="center" vertical="center" wrapText="1"/>
    </xf>
    <xf numFmtId="0" fontId="37" fillId="110" borderId="0" xfId="8" applyFont="1" applyFill="1" applyAlignment="1">
      <alignment horizontal="center" vertical="center" wrapText="1"/>
    </xf>
    <xf numFmtId="0" fontId="37" fillId="111" borderId="0" xfId="8" applyFont="1" applyFill="1" applyAlignment="1">
      <alignment horizontal="center" vertical="center" wrapText="1"/>
    </xf>
    <xf numFmtId="0" fontId="37" fillId="112" borderId="0" xfId="8" applyFont="1" applyFill="1" applyAlignment="1">
      <alignment horizontal="center" vertical="center" wrapText="1"/>
    </xf>
    <xf numFmtId="0" fontId="37" fillId="113" borderId="0" xfId="8" applyFont="1" applyFill="1" applyAlignment="1">
      <alignment horizontal="center" vertical="center" wrapText="1"/>
    </xf>
    <xf numFmtId="0" fontId="38" fillId="114" borderId="0" xfId="8" applyFont="1" applyFill="1" applyAlignment="1">
      <alignment horizontal="center" vertical="center" wrapText="1"/>
    </xf>
    <xf numFmtId="0" fontId="37" fillId="115" borderId="0" xfId="8" applyFont="1" applyFill="1" applyAlignment="1">
      <alignment horizontal="center" vertical="center" wrapText="1"/>
    </xf>
    <xf numFmtId="0" fontId="37" fillId="116" borderId="0" xfId="8" applyFont="1" applyFill="1" applyAlignment="1">
      <alignment horizontal="center" vertical="center" wrapText="1"/>
    </xf>
    <xf numFmtId="0" fontId="37" fillId="117" borderId="0" xfId="8" applyFont="1" applyFill="1" applyAlignment="1">
      <alignment horizontal="center" vertical="center" wrapText="1"/>
    </xf>
    <xf numFmtId="0" fontId="37" fillId="118" borderId="0" xfId="8" applyFont="1" applyFill="1" applyAlignment="1">
      <alignment horizontal="center" vertical="center" wrapText="1"/>
    </xf>
    <xf numFmtId="0" fontId="37" fillId="119" borderId="0" xfId="8" applyFont="1" applyFill="1" applyAlignment="1">
      <alignment horizontal="center" vertical="center" wrapText="1"/>
    </xf>
    <xf numFmtId="0" fontId="37" fillId="120" borderId="0" xfId="8" applyFont="1" applyFill="1" applyAlignment="1">
      <alignment horizontal="center" vertical="center" wrapText="1"/>
    </xf>
    <xf numFmtId="0" fontId="37" fillId="121" borderId="0" xfId="8" applyFont="1" applyFill="1" applyAlignment="1">
      <alignment horizontal="center" vertical="center" wrapText="1"/>
    </xf>
    <xf numFmtId="0" fontId="1" fillId="0" borderId="0" xfId="8" applyFont="1"/>
    <xf numFmtId="1" fontId="41" fillId="67" borderId="31" xfId="8" applyNumberFormat="1" applyFont="1" applyFill="1" applyBorder="1" applyAlignment="1">
      <alignment horizontal="center" vertical="center" wrapText="1"/>
    </xf>
    <xf numFmtId="0" fontId="36" fillId="0" borderId="0" xfId="8" applyFont="1" applyAlignment="1">
      <alignment horizontal="center" vertical="center"/>
    </xf>
    <xf numFmtId="164" fontId="41" fillId="67" borderId="31" xfId="8" applyNumberFormat="1" applyFont="1" applyFill="1" applyBorder="1" applyAlignment="1">
      <alignment horizontal="center" vertical="center" wrapText="1"/>
    </xf>
    <xf numFmtId="0" fontId="3" fillId="0" borderId="22" xfId="6" applyBorder="1"/>
    <xf numFmtId="0" fontId="3" fillId="0" borderId="23" xfId="6" applyBorder="1"/>
    <xf numFmtId="0" fontId="3" fillId="0" borderId="24" xfId="6" applyBorder="1"/>
    <xf numFmtId="0" fontId="3" fillId="0" borderId="25" xfId="6" applyBorder="1"/>
    <xf numFmtId="0" fontId="3" fillId="0" borderId="0" xfId="6" applyBorder="1"/>
    <xf numFmtId="0" fontId="3" fillId="0" borderId="26" xfId="6" applyBorder="1"/>
    <xf numFmtId="0" fontId="10" fillId="0" borderId="0" xfId="6" applyFont="1" applyBorder="1"/>
    <xf numFmtId="0" fontId="3" fillId="0" borderId="25" xfId="6" applyFont="1" applyBorder="1"/>
    <xf numFmtId="0" fontId="3" fillId="0" borderId="0" xfId="6" applyFont="1" applyBorder="1"/>
    <xf numFmtId="0" fontId="3" fillId="4" borderId="0" xfId="6" applyFill="1" applyBorder="1"/>
    <xf numFmtId="0" fontId="3" fillId="0" borderId="0" xfId="6" applyFont="1" applyFill="1" applyBorder="1"/>
    <xf numFmtId="0" fontId="3" fillId="0" borderId="27" xfId="6" applyBorder="1"/>
    <xf numFmtId="0" fontId="3" fillId="0" borderId="28" xfId="6" applyBorder="1"/>
    <xf numFmtId="0" fontId="3" fillId="0" borderId="29" xfId="6" applyBorder="1"/>
    <xf numFmtId="0" fontId="35" fillId="0" borderId="0" xfId="0" applyFont="1" applyAlignment="1">
      <alignment vertical="center"/>
    </xf>
    <xf numFmtId="0" fontId="0" fillId="0" borderId="0" xfId="0" applyAlignment="1">
      <alignment vertical="center"/>
    </xf>
    <xf numFmtId="0" fontId="5" fillId="0" borderId="36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164" fontId="35" fillId="0" borderId="36" xfId="0" applyNumberFormat="1" applyFont="1" applyBorder="1" applyAlignment="1">
      <alignment vertical="center"/>
    </xf>
    <xf numFmtId="164" fontId="35" fillId="0" borderId="37" xfId="0" applyNumberFormat="1" applyFont="1" applyBorder="1" applyAlignment="1">
      <alignment vertical="center"/>
    </xf>
    <xf numFmtId="164" fontId="35" fillId="0" borderId="38" xfId="0" applyNumberFormat="1" applyFont="1" applyBorder="1" applyAlignment="1">
      <alignment vertical="center"/>
    </xf>
    <xf numFmtId="0" fontId="8" fillId="3" borderId="0" xfId="6" applyFont="1" applyFill="1" applyBorder="1"/>
    <xf numFmtId="0" fontId="3" fillId="3" borderId="0" xfId="6" applyFill="1" applyBorder="1"/>
    <xf numFmtId="0" fontId="10" fillId="2" borderId="0" xfId="6" applyFont="1" applyFill="1" applyBorder="1" applyAlignment="1">
      <alignment horizontal="right"/>
    </xf>
    <xf numFmtId="0" fontId="9" fillId="13" borderId="21" xfId="6" applyFont="1" applyFill="1" applyBorder="1"/>
    <xf numFmtId="0" fontId="8" fillId="11" borderId="0" xfId="6" applyFont="1" applyFill="1" applyBorder="1"/>
    <xf numFmtId="0" fontId="5" fillId="0" borderId="14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9" fillId="12" borderId="0" xfId="6" applyFont="1" applyFill="1" applyBorder="1" applyAlignment="1">
      <alignment horizontal="right"/>
    </xf>
    <xf numFmtId="164" fontId="9" fillId="12" borderId="0" xfId="6" applyNumberFormat="1" applyFont="1" applyFill="1" applyBorder="1" applyAlignment="1">
      <alignment horizontal="right"/>
    </xf>
    <xf numFmtId="0" fontId="24" fillId="3" borderId="40" xfId="6" applyFont="1" applyFill="1" applyBorder="1" applyAlignment="1">
      <alignment horizontal="center" vertical="center"/>
    </xf>
    <xf numFmtId="0" fontId="9" fillId="3" borderId="41" xfId="6" applyFont="1" applyFill="1" applyBorder="1" applyAlignment="1">
      <alignment horizontal="center" vertical="center"/>
    </xf>
    <xf numFmtId="0" fontId="9" fillId="3" borderId="25" xfId="6" applyFont="1" applyFill="1" applyBorder="1" applyAlignment="1">
      <alignment horizontal="center" vertical="center"/>
    </xf>
    <xf numFmtId="0" fontId="24" fillId="3" borderId="26" xfId="6" applyFont="1" applyFill="1" applyBorder="1" applyAlignment="1">
      <alignment horizontal="center" vertical="center"/>
    </xf>
    <xf numFmtId="0" fontId="9" fillId="3" borderId="27" xfId="6" applyFont="1" applyFill="1" applyBorder="1" applyAlignment="1">
      <alignment horizontal="center" vertical="center"/>
    </xf>
    <xf numFmtId="0" fontId="24" fillId="3" borderId="29" xfId="6" applyFont="1" applyFill="1" applyBorder="1" applyAlignment="1">
      <alignment horizontal="center" vertical="center"/>
    </xf>
    <xf numFmtId="0" fontId="9" fillId="3" borderId="42" xfId="6" applyFont="1" applyFill="1" applyBorder="1" applyAlignment="1">
      <alignment horizontal="center" vertical="center"/>
    </xf>
    <xf numFmtId="0" fontId="24" fillId="3" borderId="43" xfId="6" applyFont="1" applyFill="1" applyBorder="1" applyAlignment="1">
      <alignment horizontal="center" vertical="center"/>
    </xf>
    <xf numFmtId="0" fontId="9" fillId="3" borderId="44" xfId="6" applyFont="1" applyFill="1" applyBorder="1" applyAlignment="1">
      <alignment horizontal="center" vertical="center"/>
    </xf>
    <xf numFmtId="164" fontId="24" fillId="2" borderId="31" xfId="6" applyNumberFormat="1" applyFont="1" applyFill="1" applyBorder="1" applyAlignment="1" applyProtection="1">
      <alignment horizontal="center" vertical="center"/>
      <protection locked="0"/>
    </xf>
    <xf numFmtId="164" fontId="24" fillId="2" borderId="45" xfId="6" applyNumberFormat="1" applyFont="1" applyFill="1" applyBorder="1" applyAlignment="1" applyProtection="1">
      <alignment horizontal="center" vertical="center"/>
      <protection locked="0"/>
    </xf>
    <xf numFmtId="0" fontId="8" fillId="11" borderId="25" xfId="6" applyFont="1" applyFill="1" applyBorder="1"/>
    <xf numFmtId="0" fontId="8" fillId="12" borderId="0" xfId="6" applyFont="1" applyFill="1" applyBorder="1"/>
    <xf numFmtId="0" fontId="3" fillId="2" borderId="0" xfId="6" applyFont="1" applyFill="1" applyBorder="1"/>
    <xf numFmtId="0" fontId="3" fillId="2" borderId="0" xfId="6" applyFont="1" applyFill="1"/>
    <xf numFmtId="0" fontId="3" fillId="12" borderId="0" xfId="6" applyFill="1"/>
    <xf numFmtId="0" fontId="9" fillId="12" borderId="0" xfId="6" applyFont="1" applyFill="1"/>
    <xf numFmtId="0" fontId="3" fillId="3" borderId="3" xfId="6" applyFont="1" applyFill="1" applyBorder="1"/>
    <xf numFmtId="0" fontId="3" fillId="3" borderId="5" xfId="6" applyFont="1" applyFill="1" applyBorder="1"/>
    <xf numFmtId="0" fontId="3" fillId="2" borderId="5" xfId="6" applyFont="1" applyFill="1" applyBorder="1"/>
    <xf numFmtId="0" fontId="3" fillId="3" borderId="8" xfId="6" applyFont="1" applyFill="1" applyBorder="1"/>
    <xf numFmtId="0" fontId="3" fillId="2" borderId="8" xfId="6" applyFont="1" applyFill="1" applyBorder="1"/>
    <xf numFmtId="0" fontId="3" fillId="3" borderId="0" xfId="6" applyFont="1" applyFill="1" applyBorder="1"/>
    <xf numFmtId="0" fontId="9" fillId="10" borderId="39" xfId="6" applyFont="1" applyFill="1" applyBorder="1" applyAlignment="1">
      <alignment horizontal="center" vertical="center"/>
    </xf>
    <xf numFmtId="3" fontId="0" fillId="0" borderId="0" xfId="0" applyNumberFormat="1"/>
    <xf numFmtId="1" fontId="0" fillId="0" borderId="0" xfId="0" applyNumberFormat="1"/>
    <xf numFmtId="164" fontId="0" fillId="0" borderId="0" xfId="0" applyNumberFormat="1"/>
    <xf numFmtId="167" fontId="0" fillId="0" borderId="0" xfId="0" applyNumberFormat="1"/>
    <xf numFmtId="164" fontId="42" fillId="18" borderId="0" xfId="3" applyNumberFormat="1" applyFont="1" applyFill="1"/>
    <xf numFmtId="164" fontId="42" fillId="16" borderId="0" xfId="0" applyNumberFormat="1" applyFont="1" applyFill="1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3" fillId="122" borderId="0" xfId="6" applyFill="1" applyBorder="1"/>
    <xf numFmtId="0" fontId="9" fillId="123" borderId="22" xfId="6" applyFont="1" applyFill="1" applyBorder="1"/>
    <xf numFmtId="0" fontId="24" fillId="123" borderId="23" xfId="6" applyFont="1" applyFill="1" applyBorder="1"/>
    <xf numFmtId="0" fontId="3" fillId="123" borderId="23" xfId="6" applyFill="1" applyBorder="1"/>
    <xf numFmtId="0" fontId="3" fillId="123" borderId="24" xfId="6" applyFill="1" applyBorder="1"/>
    <xf numFmtId="0" fontId="24" fillId="123" borderId="0" xfId="6" applyFont="1" applyFill="1" applyBorder="1"/>
    <xf numFmtId="0" fontId="24" fillId="122" borderId="0" xfId="6" applyFont="1" applyFill="1" applyBorder="1"/>
    <xf numFmtId="0" fontId="3" fillId="123" borderId="0" xfId="6" applyFill="1" applyBorder="1"/>
    <xf numFmtId="0" fontId="3" fillId="122" borderId="26" xfId="6" applyFill="1" applyBorder="1"/>
    <xf numFmtId="0" fontId="3" fillId="122" borderId="28" xfId="6" applyFill="1" applyBorder="1"/>
    <xf numFmtId="0" fontId="9" fillId="122" borderId="0" xfId="6" applyFont="1" applyFill="1" applyBorder="1"/>
    <xf numFmtId="0" fontId="9" fillId="122" borderId="28" xfId="6" applyFont="1" applyFill="1" applyBorder="1"/>
    <xf numFmtId="0" fontId="3" fillId="122" borderId="28" xfId="6" applyFont="1" applyFill="1" applyBorder="1"/>
    <xf numFmtId="0" fontId="9" fillId="122" borderId="28" xfId="6" applyFont="1" applyFill="1" applyBorder="1" applyAlignment="1">
      <alignment horizontal="left" vertical="center"/>
    </xf>
    <xf numFmtId="2" fontId="10" fillId="122" borderId="28" xfId="6" applyNumberFormat="1" applyFont="1" applyFill="1" applyBorder="1" applyAlignment="1">
      <alignment vertical="center"/>
    </xf>
    <xf numFmtId="0" fontId="3" fillId="123" borderId="28" xfId="6" applyFont="1" applyFill="1" applyBorder="1"/>
    <xf numFmtId="0" fontId="10" fillId="122" borderId="29" xfId="6" applyFont="1" applyFill="1" applyBorder="1" applyAlignment="1">
      <alignment horizontal="right"/>
    </xf>
    <xf numFmtId="164" fontId="9" fillId="122" borderId="0" xfId="6" applyNumberFormat="1" applyFont="1" applyFill="1" applyBorder="1"/>
    <xf numFmtId="0" fontId="9" fillId="122" borderId="0" xfId="6" applyFont="1" applyFill="1" applyBorder="1" applyAlignment="1">
      <alignment horizontal="right"/>
    </xf>
    <xf numFmtId="0" fontId="9" fillId="123" borderId="25" xfId="6" applyFont="1" applyFill="1" applyBorder="1"/>
    <xf numFmtId="0" fontId="8" fillId="12" borderId="28" xfId="6" applyFont="1" applyFill="1" applyBorder="1"/>
    <xf numFmtId="0" fontId="9" fillId="12" borderId="28" xfId="6" applyFont="1" applyFill="1" applyBorder="1"/>
    <xf numFmtId="0" fontId="5" fillId="0" borderId="0" xfId="0" applyFont="1"/>
    <xf numFmtId="0" fontId="36" fillId="0" borderId="0" xfId="8" applyFont="1" applyAlignment="1">
      <alignment horizontal="center" vertical="center" wrapText="1"/>
    </xf>
    <xf numFmtId="0" fontId="43" fillId="0" borderId="0" xfId="8" applyFont="1" applyAlignment="1">
      <alignment vertical="center"/>
    </xf>
    <xf numFmtId="164" fontId="44" fillId="0" borderId="36" xfId="0" applyNumberFormat="1" applyFont="1" applyBorder="1" applyAlignment="1">
      <alignment vertical="center"/>
    </xf>
  </cellXfs>
  <cellStyles count="10">
    <cellStyle name="Hipervínculo" xfId="1" builtinId="8"/>
    <cellStyle name="Hipervínculo 2" xfId="2"/>
    <cellStyle name="Hipervínculo 3" xfId="9"/>
    <cellStyle name="Normal" xfId="0" builtinId="0"/>
    <cellStyle name="Normal 2" xfId="3"/>
    <cellStyle name="Normal 3" xfId="4"/>
    <cellStyle name="Normal 4" xfId="8"/>
    <cellStyle name="Normal_Libro2" xfId="5"/>
    <cellStyle name="Normal_Plantilla climograma" xfId="6"/>
    <cellStyle name="Normal_PRÁCTICA_5_BALANCE_HÍDRICO" xfId="7"/>
  </cellStyles>
  <dxfs count="0"/>
  <tableStyles count="0" defaultTableStyle="TableStyleMedium2" defaultPivotStyle="PivotStyleLight16"/>
  <colors>
    <mruColors>
      <color rgb="FFFFFF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222239720034996"/>
          <c:y val="5.543881751623151E-2"/>
          <c:w val="0.64294992933575601"/>
          <c:h val="0.86456206658378243"/>
        </c:manualLayout>
      </c:layout>
      <c:areaChart>
        <c:grouping val="standard"/>
        <c:varyColors val="0"/>
        <c:ser>
          <c:idx val="2"/>
          <c:order val="2"/>
          <c:spPr>
            <a:solidFill>
              <a:srgbClr val="FFFF00"/>
            </a:solidFill>
          </c:spPr>
          <c:val>
            <c:numRef>
              <c:f>Climograma!$B$41:$M$41</c:f>
              <c:numCache>
                <c:formatCode>0.0</c:formatCode>
                <c:ptCount val="12"/>
                <c:pt idx="0">
                  <c:v>17.3</c:v>
                </c:pt>
                <c:pt idx="1">
                  <c:v>17.399999999999999</c:v>
                </c:pt>
                <c:pt idx="2">
                  <c:v>16.5</c:v>
                </c:pt>
                <c:pt idx="3">
                  <c:v>14.9</c:v>
                </c:pt>
                <c:pt idx="4">
                  <c:v>13.7</c:v>
                </c:pt>
                <c:pt idx="5">
                  <c:v>12.5</c:v>
                </c:pt>
                <c:pt idx="6">
                  <c:v>11.8</c:v>
                </c:pt>
                <c:pt idx="7">
                  <c:v>12.4</c:v>
                </c:pt>
                <c:pt idx="8">
                  <c:v>13</c:v>
                </c:pt>
                <c:pt idx="9">
                  <c:v>13.9</c:v>
                </c:pt>
                <c:pt idx="10">
                  <c:v>15</c:v>
                </c:pt>
                <c:pt idx="11">
                  <c:v>16.2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3997952"/>
        <c:axId val="173999128"/>
      </c:areaChart>
      <c:barChart>
        <c:barDir val="col"/>
        <c:grouping val="clustered"/>
        <c:varyColors val="0"/>
        <c:ser>
          <c:idx val="1"/>
          <c:order val="1"/>
          <c:spPr>
            <a:solidFill>
              <a:schemeClr val="accent1">
                <a:lumMod val="60000"/>
                <a:lumOff val="40000"/>
              </a:schemeClr>
            </a:solidFill>
            <a:ln w="12700">
              <a:solidFill>
                <a:srgbClr val="0000FF"/>
              </a:solidFill>
              <a:prstDash val="solid"/>
            </a:ln>
          </c:spPr>
          <c:invertIfNegative val="0"/>
          <c:cat>
            <c:strRef>
              <c:f>Climograma!$B$40:$M$40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JL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Climograma!$B$42:$M$42</c:f>
              <c:numCache>
                <c:formatCode>0.0</c:formatCode>
                <c:ptCount val="12"/>
                <c:pt idx="0">
                  <c:v>0.4</c:v>
                </c:pt>
                <c:pt idx="1">
                  <c:v>0</c:v>
                </c:pt>
                <c:pt idx="2">
                  <c:v>3.7</c:v>
                </c:pt>
                <c:pt idx="3">
                  <c:v>13.3</c:v>
                </c:pt>
                <c:pt idx="4">
                  <c:v>54.5</c:v>
                </c:pt>
                <c:pt idx="5">
                  <c:v>83.1</c:v>
                </c:pt>
                <c:pt idx="6">
                  <c:v>111.2</c:v>
                </c:pt>
                <c:pt idx="7">
                  <c:v>60</c:v>
                </c:pt>
                <c:pt idx="8">
                  <c:v>26.7</c:v>
                </c:pt>
                <c:pt idx="9">
                  <c:v>10.4</c:v>
                </c:pt>
                <c:pt idx="10">
                  <c:v>7.9</c:v>
                </c:pt>
                <c:pt idx="11">
                  <c:v>1.3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173619824"/>
        <c:axId val="217705808"/>
      </c:barChart>
      <c:lineChart>
        <c:grouping val="standard"/>
        <c:varyColors val="0"/>
        <c:ser>
          <c:idx val="0"/>
          <c:order val="0"/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Climograma!$B$40:$M$40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JL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Climograma!$B$41:$M$41</c:f>
              <c:numCache>
                <c:formatCode>0.0</c:formatCode>
                <c:ptCount val="12"/>
                <c:pt idx="0">
                  <c:v>17.3</c:v>
                </c:pt>
                <c:pt idx="1">
                  <c:v>17.399999999999999</c:v>
                </c:pt>
                <c:pt idx="2">
                  <c:v>16.5</c:v>
                </c:pt>
                <c:pt idx="3">
                  <c:v>14.9</c:v>
                </c:pt>
                <c:pt idx="4">
                  <c:v>13.7</c:v>
                </c:pt>
                <c:pt idx="5">
                  <c:v>12.5</c:v>
                </c:pt>
                <c:pt idx="6">
                  <c:v>11.8</c:v>
                </c:pt>
                <c:pt idx="7">
                  <c:v>12.4</c:v>
                </c:pt>
                <c:pt idx="8">
                  <c:v>13</c:v>
                </c:pt>
                <c:pt idx="9">
                  <c:v>13.9</c:v>
                </c:pt>
                <c:pt idx="10">
                  <c:v>15</c:v>
                </c:pt>
                <c:pt idx="11">
                  <c:v>16.2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3997952"/>
        <c:axId val="173999128"/>
      </c:lineChart>
      <c:catAx>
        <c:axId val="173997952"/>
        <c:scaling>
          <c:orientation val="minMax"/>
        </c:scaling>
        <c:delete val="0"/>
        <c:axPos val="b"/>
        <c:numFmt formatCode="General" sourceLinked="1"/>
        <c:majorTickMark val="none"/>
        <c:minorTickMark val="out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3999128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73999128"/>
        <c:scaling>
          <c:orientation val="minMax"/>
          <c:max val="125"/>
          <c:min val="-20"/>
        </c:scaling>
        <c:delete val="0"/>
        <c:axPos val="l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Temperatura (ºC)</a:t>
                </a:r>
              </a:p>
            </c:rich>
          </c:tx>
          <c:layout>
            <c:manualLayout>
              <c:xMode val="edge"/>
              <c:yMode val="edge"/>
              <c:x val="1.8974335700832786E-2"/>
              <c:y val="0.2947220580478287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low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3997952"/>
        <c:crosses val="autoZero"/>
        <c:crossBetween val="between"/>
        <c:majorUnit val="20"/>
        <c:minorUnit val="4"/>
      </c:valAx>
      <c:catAx>
        <c:axId val="1736198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217705808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217705808"/>
        <c:scaling>
          <c:orientation val="minMax"/>
          <c:max val="250"/>
          <c:min val="-40"/>
        </c:scaling>
        <c:delete val="0"/>
        <c:axPos val="r"/>
        <c:title>
          <c:tx>
            <c:rich>
              <a:bodyPr/>
              <a:lstStyle/>
              <a:p>
                <a:pPr>
                  <a:defRPr/>
                </a:pPr>
                <a:r>
                  <a:rPr lang="es-ES" sz="1400" b="1" i="0" baseline="0"/>
                  <a:t>Precipitación (mm)</a:t>
                </a:r>
              </a:p>
            </c:rich>
          </c:tx>
          <c:layout>
            <c:manualLayout>
              <c:xMode val="edge"/>
              <c:yMode val="edge"/>
              <c:x val="0.94072583146126909"/>
              <c:y val="0.27461262257472052"/>
            </c:manualLayout>
          </c:layout>
          <c:overlay val="0"/>
        </c:title>
        <c:numFmt formatCode="0" sourceLinked="0"/>
        <c:majorTickMark val="out"/>
        <c:minorTickMark val="none"/>
        <c:tickLblPos val="high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3619824"/>
        <c:crosses val="max"/>
        <c:crossBetween val="between"/>
        <c:majorUnit val="40"/>
        <c:minorUnit val="4"/>
      </c:valAx>
      <c:spPr>
        <a:noFill/>
        <a:ln w="31750">
          <a:solidFill>
            <a:schemeClr val="tx1"/>
          </a:solidFill>
          <a:prstDash val="solid"/>
        </a:ln>
      </c:spPr>
    </c:plotArea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Geneva"/>
          <a:ea typeface="Geneva"/>
          <a:cs typeface="Geneva"/>
        </a:defRPr>
      </a:pPr>
      <a:endParaRPr lang="es-ES"/>
    </a:p>
  </c:txPr>
  <c:printSettings>
    <c:headerFooter alignWithMargins="0"/>
    <c:pageMargins b="1" l="0.75" r="0.75" t="1" header="0.4921259845" footer="0.492125984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464693202009542"/>
          <c:y val="4.8095725650736811E-2"/>
          <c:w val="0.78011003779166765"/>
          <c:h val="0.79571541766317977"/>
        </c:manualLayout>
      </c:layout>
      <c:lineChart>
        <c:grouping val="standard"/>
        <c:varyColors val="0"/>
        <c:ser>
          <c:idx val="0"/>
          <c:order val="0"/>
          <c:tx>
            <c:strRef>
              <c:f>Turismo!$A$28</c:f>
              <c:strCache>
                <c:ptCount val="1"/>
                <c:pt idx="0">
                  <c:v>Índice Potencial Turístico (Mieczkowski, 1985)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Turismo!$B$2:$M$2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Turismo!$B$28:$M$28</c:f>
              <c:numCache>
                <c:formatCode>0.0</c:formatCode>
                <c:ptCount val="12"/>
                <c:pt idx="0">
                  <c:v>70</c:v>
                </c:pt>
                <c:pt idx="1">
                  <c:v>82</c:v>
                </c:pt>
                <c:pt idx="2">
                  <c:v>68</c:v>
                </c:pt>
                <c:pt idx="3">
                  <c:v>46</c:v>
                </c:pt>
                <c:pt idx="4">
                  <c:v>27</c:v>
                </c:pt>
                <c:pt idx="5">
                  <c:v>27</c:v>
                </c:pt>
                <c:pt idx="6">
                  <c:v>27</c:v>
                </c:pt>
                <c:pt idx="7">
                  <c:v>25</c:v>
                </c:pt>
                <c:pt idx="8">
                  <c:v>33</c:v>
                </c:pt>
                <c:pt idx="9">
                  <c:v>43</c:v>
                </c:pt>
                <c:pt idx="10">
                  <c:v>52</c:v>
                </c:pt>
                <c:pt idx="11">
                  <c:v>70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0891432"/>
        <c:axId val="220891824"/>
      </c:lineChart>
      <c:lineChart>
        <c:grouping val="standard"/>
        <c:varyColors val="0"/>
        <c:ser>
          <c:idx val="1"/>
          <c:order val="1"/>
          <c:tx>
            <c:strRef>
              <c:f>Turismo!$A$30</c:f>
              <c:strCache>
                <c:ptCount val="1"/>
                <c:pt idx="0">
                  <c:v>Temperatura del mar ºC (Morgan, 2000)</c:v>
                </c:pt>
              </c:strCache>
            </c:strRef>
          </c:tx>
          <c:spPr>
            <a:ln w="28575" cap="rnd">
              <a:solidFill>
                <a:srgbClr val="00B0F0"/>
              </a:solidFill>
              <a:round/>
            </a:ln>
            <a:effectLst/>
          </c:spPr>
          <c:marker>
            <c:symbol val="none"/>
          </c:marker>
          <c:val>
            <c:numRef>
              <c:f>Turismo!$B$30:$M$30</c:f>
              <c:numCache>
                <c:formatCode>General</c:formatCode>
                <c:ptCount val="12"/>
                <c:pt idx="0">
                  <c:v>17.5</c:v>
                </c:pt>
                <c:pt idx="1">
                  <c:v>17.899999999999999</c:v>
                </c:pt>
                <c:pt idx="2">
                  <c:v>17.3</c:v>
                </c:pt>
                <c:pt idx="3">
                  <c:v>15.5</c:v>
                </c:pt>
                <c:pt idx="4">
                  <c:v>14.3</c:v>
                </c:pt>
                <c:pt idx="5">
                  <c:v>13.9</c:v>
                </c:pt>
                <c:pt idx="6">
                  <c:v>13.1</c:v>
                </c:pt>
                <c:pt idx="7">
                  <c:v>13.2</c:v>
                </c:pt>
                <c:pt idx="8">
                  <c:v>13.2</c:v>
                </c:pt>
                <c:pt idx="9">
                  <c:v>13.7</c:v>
                </c:pt>
                <c:pt idx="10">
                  <c:v>14.6</c:v>
                </c:pt>
                <c:pt idx="11">
                  <c:v>16.399999999999999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0892608"/>
        <c:axId val="220892216"/>
      </c:lineChart>
      <c:catAx>
        <c:axId val="220891432"/>
        <c:scaling>
          <c:orientation val="minMax"/>
        </c:scaling>
        <c:delete val="0"/>
        <c:axPos val="b"/>
        <c:numFmt formatCode="General" sourceLinked="1"/>
        <c:majorTickMark val="none"/>
        <c:minorTickMark val="out"/>
        <c:tickLblPos val="nextTo"/>
        <c:spPr>
          <a:noFill/>
          <a:ln w="254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20891824"/>
        <c:crosses val="autoZero"/>
        <c:auto val="1"/>
        <c:lblAlgn val="ctr"/>
        <c:lblOffset val="100"/>
        <c:noMultiLvlLbl val="0"/>
      </c:catAx>
      <c:valAx>
        <c:axId val="220891824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/>
              </a:solidFill>
              <a:prstDash val="dash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 sz="1400" b="1" i="0" baseline="0">
                    <a:solidFill>
                      <a:schemeClr val="tx1"/>
                    </a:solidFill>
                  </a:rPr>
                  <a:t>Potencial turístico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2540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20891432"/>
        <c:crosses val="autoZero"/>
        <c:crossBetween val="between"/>
        <c:majorUnit val="25"/>
      </c:valAx>
      <c:valAx>
        <c:axId val="220892216"/>
        <c:scaling>
          <c:orientation val="minMax"/>
          <c:max val="3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 sz="1400" b="1" i="0" baseline="0">
                    <a:solidFill>
                      <a:schemeClr val="tx1"/>
                    </a:solidFill>
                  </a:rPr>
                  <a:t>ºC</a:t>
                </a:r>
              </a:p>
            </c:rich>
          </c:tx>
          <c:layout>
            <c:manualLayout>
              <c:xMode val="edge"/>
              <c:yMode val="edge"/>
              <c:x val="0.95296624004473662"/>
              <c:y val="0.4113329333301273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2222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20892608"/>
        <c:crosses val="max"/>
        <c:crossBetween val="between"/>
        <c:majorUnit val="10"/>
      </c:valAx>
      <c:catAx>
        <c:axId val="220892608"/>
        <c:scaling>
          <c:orientation val="minMax"/>
        </c:scaling>
        <c:delete val="1"/>
        <c:axPos val="b"/>
        <c:majorTickMark val="out"/>
        <c:minorTickMark val="none"/>
        <c:tickLblPos val="nextTo"/>
        <c:crossAx val="220892216"/>
        <c:crosses val="autoZero"/>
        <c:auto val="1"/>
        <c:lblAlgn val="ctr"/>
        <c:lblOffset val="100"/>
        <c:noMultiLvlLbl val="0"/>
      </c:catAx>
      <c:spPr>
        <a:noFill/>
        <a:ln w="25400">
          <a:solidFill>
            <a:srgbClr val="000000"/>
          </a:solidFill>
        </a:ln>
        <a:effectLst/>
      </c:spPr>
    </c:plotArea>
    <c:legend>
      <c:legendPos val="r"/>
      <c:layout>
        <c:manualLayout>
          <c:xMode val="edge"/>
          <c:yMode val="edge"/>
          <c:x val="0.33670048975836786"/>
          <c:y val="6.3692495578249742E-2"/>
          <c:w val="0.53490398751702428"/>
          <c:h val="0.1716416366431268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400" b="1" i="0" baseline="0">
                <a:solidFill>
                  <a:schemeClr val="tx1"/>
                </a:solidFill>
              </a:rPr>
              <a:t>Días de temporal</a:t>
            </a:r>
          </a:p>
        </c:rich>
      </c:tx>
      <c:layout>
        <c:manualLayout>
          <c:xMode val="edge"/>
          <c:yMode val="edge"/>
          <c:x val="0.33259271162533255"/>
          <c:y val="1.182550568326102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13357544592640205"/>
          <c:y val="0.16470085963513928"/>
          <c:w val="0.81653793275840525"/>
          <c:h val="0.6432719024455650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val>
            <c:numRef>
              <c:f>Situaciones_Riesgo!$B$3:$B$14</c:f>
              <c:numCache>
                <c:formatCode>General</c:formatCode>
                <c:ptCount val="12"/>
                <c:pt idx="0">
                  <c:v>1.1000000000000001</c:v>
                </c:pt>
                <c:pt idx="1">
                  <c:v>0.6</c:v>
                </c:pt>
                <c:pt idx="2">
                  <c:v>0.5</c:v>
                </c:pt>
                <c:pt idx="3">
                  <c:v>0.2</c:v>
                </c:pt>
                <c:pt idx="4">
                  <c:v>0.1</c:v>
                </c:pt>
                <c:pt idx="5">
                  <c:v>0.1</c:v>
                </c:pt>
                <c:pt idx="6">
                  <c:v>0.5</c:v>
                </c:pt>
                <c:pt idx="7">
                  <c:v>0.4</c:v>
                </c:pt>
                <c:pt idx="8">
                  <c:v>0.3</c:v>
                </c:pt>
                <c:pt idx="9">
                  <c:v>0.3</c:v>
                </c:pt>
                <c:pt idx="10">
                  <c:v>1</c:v>
                </c:pt>
                <c:pt idx="11">
                  <c:v>2.1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overlap val="-27"/>
        <c:axId val="220092344"/>
        <c:axId val="220092736"/>
      </c:barChart>
      <c:catAx>
        <c:axId val="220092344"/>
        <c:scaling>
          <c:orientation val="minMax"/>
        </c:scaling>
        <c:delete val="0"/>
        <c:axPos val="b"/>
        <c:majorTickMark val="none"/>
        <c:minorTickMark val="out"/>
        <c:tickLblPos val="nextTo"/>
        <c:spPr>
          <a:noFill/>
          <a:ln w="254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20092736"/>
        <c:crosses val="autoZero"/>
        <c:auto val="1"/>
        <c:lblAlgn val="ctr"/>
        <c:lblOffset val="100"/>
        <c:noMultiLvlLbl val="0"/>
      </c:catAx>
      <c:valAx>
        <c:axId val="220092736"/>
        <c:scaling>
          <c:orientation val="minMax"/>
          <c:max val="4"/>
        </c:scaling>
        <c:delete val="0"/>
        <c:axPos val="l"/>
        <c:majorGridlines>
          <c:spPr>
            <a:ln w="9525" cap="flat" cmpd="sng" algn="ctr">
              <a:solidFill>
                <a:schemeClr val="tx1"/>
              </a:solidFill>
              <a:prstDash val="dash"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25400">
            <a:solidFill>
              <a:schemeClr val="tx1"/>
            </a:solidFill>
            <a:prstDash val="dash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20092344"/>
        <c:crosses val="autoZero"/>
        <c:crossBetween val="between"/>
        <c:majorUnit val="1"/>
      </c:valAx>
      <c:spPr>
        <a:noFill/>
        <a:ln w="25400"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400" b="1" i="0" baseline="0">
                <a:solidFill>
                  <a:schemeClr val="tx1"/>
                </a:solidFill>
              </a:rPr>
              <a:t>Días de niebla</a:t>
            </a:r>
          </a:p>
        </c:rich>
      </c:tx>
      <c:layout>
        <c:manualLayout>
          <c:xMode val="edge"/>
          <c:yMode val="edge"/>
          <c:x val="0.33259271162533255"/>
          <c:y val="1.182550568326102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13357544592640205"/>
          <c:y val="0.14382664964961922"/>
          <c:w val="0.81653793275840525"/>
          <c:h val="0.6641460233609106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1">
                <a:lumMod val="65000"/>
                <a:lumOff val="350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Situaciones_Riesgo!$B$20:$B$31</c:f>
              <c:numCache>
                <c:formatCode>General</c:formatCode>
                <c:ptCount val="12"/>
                <c:pt idx="0">
                  <c:v>0.3</c:v>
                </c:pt>
                <c:pt idx="1">
                  <c:v>0.8</c:v>
                </c:pt>
                <c:pt idx="2">
                  <c:v>3</c:v>
                </c:pt>
                <c:pt idx="3">
                  <c:v>2.6</c:v>
                </c:pt>
                <c:pt idx="4">
                  <c:v>2.6</c:v>
                </c:pt>
                <c:pt idx="5">
                  <c:v>2.2999999999999998</c:v>
                </c:pt>
                <c:pt idx="6">
                  <c:v>1.6</c:v>
                </c:pt>
                <c:pt idx="7">
                  <c:v>2</c:v>
                </c:pt>
                <c:pt idx="8">
                  <c:v>2.7</c:v>
                </c:pt>
                <c:pt idx="9">
                  <c:v>0.9</c:v>
                </c:pt>
                <c:pt idx="10">
                  <c:v>1</c:v>
                </c:pt>
                <c:pt idx="11">
                  <c:v>0.7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overlap val="-27"/>
        <c:axId val="220093520"/>
        <c:axId val="220093912"/>
      </c:barChart>
      <c:catAx>
        <c:axId val="220093520"/>
        <c:scaling>
          <c:orientation val="minMax"/>
        </c:scaling>
        <c:delete val="0"/>
        <c:axPos val="b"/>
        <c:majorTickMark val="none"/>
        <c:minorTickMark val="out"/>
        <c:tickLblPos val="nextTo"/>
        <c:spPr>
          <a:noFill/>
          <a:ln w="254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20093912"/>
        <c:crosses val="autoZero"/>
        <c:auto val="1"/>
        <c:lblAlgn val="ctr"/>
        <c:lblOffset val="100"/>
        <c:noMultiLvlLbl val="0"/>
      </c:catAx>
      <c:valAx>
        <c:axId val="220093912"/>
        <c:scaling>
          <c:orientation val="minMax"/>
          <c:max val="12"/>
        </c:scaling>
        <c:delete val="0"/>
        <c:axPos val="l"/>
        <c:majorGridlines>
          <c:spPr>
            <a:ln w="9525" cap="flat" cmpd="sng" algn="ctr">
              <a:solidFill>
                <a:schemeClr val="tx1"/>
              </a:solidFill>
              <a:prstDash val="dash"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25400">
            <a:solidFill>
              <a:schemeClr val="tx1"/>
            </a:solidFill>
            <a:prstDash val="dash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20093520"/>
        <c:crosses val="autoZero"/>
        <c:crossBetween val="between"/>
        <c:majorUnit val="4"/>
      </c:valAx>
      <c:spPr>
        <a:noFill/>
        <a:ln w="25400"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400" b="1" i="0" baseline="0">
                <a:solidFill>
                  <a:schemeClr val="tx1"/>
                </a:solidFill>
              </a:rPr>
              <a:t>Días de tormenta/granizo</a:t>
            </a:r>
          </a:p>
        </c:rich>
      </c:tx>
      <c:layout>
        <c:manualLayout>
          <c:xMode val="edge"/>
          <c:yMode val="edge"/>
          <c:x val="0.1924941525166497"/>
          <c:y val="1.182550568326102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13357544592640205"/>
          <c:y val="0.14382664964961922"/>
          <c:w val="0.81653793275840525"/>
          <c:h val="0.6641460233609106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Situaciones_Riesgo!$B$36</c:f>
              <c:strCache>
                <c:ptCount val="1"/>
                <c:pt idx="0">
                  <c:v>Tormenta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Situaciones_Riesgo!$B$37:$B$48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1"/>
          <c:order val="1"/>
          <c:tx>
            <c:strRef>
              <c:f>Situaciones_Riesgo!$C$36</c:f>
              <c:strCache>
                <c:ptCount val="1"/>
                <c:pt idx="0">
                  <c:v>Granizo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Situaciones_Riesgo!$C$37:$C$48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overlap val="22"/>
        <c:axId val="220094696"/>
        <c:axId val="220095088"/>
      </c:barChart>
      <c:catAx>
        <c:axId val="220094696"/>
        <c:scaling>
          <c:orientation val="minMax"/>
        </c:scaling>
        <c:delete val="0"/>
        <c:axPos val="b"/>
        <c:majorTickMark val="none"/>
        <c:minorTickMark val="out"/>
        <c:tickLblPos val="nextTo"/>
        <c:spPr>
          <a:noFill/>
          <a:ln w="254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20095088"/>
        <c:crosses val="autoZero"/>
        <c:auto val="1"/>
        <c:lblAlgn val="ctr"/>
        <c:lblOffset val="100"/>
        <c:noMultiLvlLbl val="0"/>
      </c:catAx>
      <c:valAx>
        <c:axId val="220095088"/>
        <c:scaling>
          <c:orientation val="minMax"/>
          <c:max val="12"/>
        </c:scaling>
        <c:delete val="0"/>
        <c:axPos val="l"/>
        <c:majorGridlines>
          <c:spPr>
            <a:ln w="9525" cap="flat" cmpd="sng" algn="ctr">
              <a:solidFill>
                <a:schemeClr val="tx1"/>
              </a:solidFill>
              <a:prstDash val="dash"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25400">
            <a:solidFill>
              <a:schemeClr val="tx1"/>
            </a:solidFill>
            <a:prstDash val="dash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20094696"/>
        <c:crosses val="autoZero"/>
        <c:crossBetween val="between"/>
        <c:majorUnit val="4"/>
      </c:valAx>
      <c:spPr>
        <a:noFill/>
        <a:ln w="25400"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731182203623149"/>
          <c:y val="8.3951875280095525E-2"/>
          <c:w val="0.81140612668171719"/>
          <c:h val="0.75982007626209191"/>
        </c:manualLayout>
      </c:layout>
      <c:lineChart>
        <c:grouping val="standard"/>
        <c:varyColors val="0"/>
        <c:ser>
          <c:idx val="0"/>
          <c:order val="0"/>
          <c:tx>
            <c:strRef>
              <c:f>Situaciones_Riesgo!$N$2</c:f>
              <c:strCache>
                <c:ptCount val="1"/>
                <c:pt idx="0">
                  <c:v>Días tropicales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val>
            <c:numRef>
              <c:f>Situaciones_Riesgo!$N$3:$N$14</c:f>
              <c:numCache>
                <c:formatCode>General</c:formatCode>
                <c:ptCount val="12"/>
                <c:pt idx="0">
                  <c:v>0.8</c:v>
                </c:pt>
                <c:pt idx="1">
                  <c:v>1.8</c:v>
                </c:pt>
                <c:pt idx="2">
                  <c:v>0.9</c:v>
                </c:pt>
                <c:pt idx="3">
                  <c:v>0</c:v>
                </c:pt>
                <c:pt idx="4">
                  <c:v>0.1</c:v>
                </c:pt>
                <c:pt idx="5">
                  <c:v>0</c:v>
                </c:pt>
                <c:pt idx="6">
                  <c:v>0.1</c:v>
                </c:pt>
                <c:pt idx="7">
                  <c:v>0.1</c:v>
                </c:pt>
                <c:pt idx="8">
                  <c:v>0.7</c:v>
                </c:pt>
                <c:pt idx="9">
                  <c:v>0.4</c:v>
                </c:pt>
                <c:pt idx="10">
                  <c:v>0.4</c:v>
                </c:pt>
                <c:pt idx="11">
                  <c:v>0.7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Situaciones_Riesgo!$O$2</c:f>
              <c:strCache>
                <c:ptCount val="1"/>
                <c:pt idx="0">
                  <c:v>Noches tropicales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Situaciones_Riesgo!$O$3:$O$14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Situaciones_Riesgo!$P$2</c:f>
              <c:strCache>
                <c:ptCount val="1"/>
                <c:pt idx="0">
                  <c:v>Noches con helada </c:v>
                </c:pt>
              </c:strCache>
            </c:strRef>
          </c:tx>
          <c:spPr>
            <a:ln w="28575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val>
            <c:numRef>
              <c:f>Situaciones_Riesgo!$P$3:$P$14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0095872"/>
        <c:axId val="220096264"/>
      </c:lineChart>
      <c:catAx>
        <c:axId val="220095872"/>
        <c:scaling>
          <c:orientation val="minMax"/>
        </c:scaling>
        <c:delete val="0"/>
        <c:axPos val="b"/>
        <c:majorTickMark val="none"/>
        <c:minorTickMark val="out"/>
        <c:tickLblPos val="nextTo"/>
        <c:spPr>
          <a:noFill/>
          <a:ln w="254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20096264"/>
        <c:crosses val="autoZero"/>
        <c:auto val="1"/>
        <c:lblAlgn val="ctr"/>
        <c:lblOffset val="100"/>
        <c:noMultiLvlLbl val="0"/>
      </c:catAx>
      <c:valAx>
        <c:axId val="220096264"/>
        <c:scaling>
          <c:orientation val="minMax"/>
          <c:max val="30"/>
        </c:scaling>
        <c:delete val="0"/>
        <c:axPos val="l"/>
        <c:majorGridlines>
          <c:spPr>
            <a:ln w="9525" cap="flat" cmpd="sng" algn="ctr">
              <a:solidFill>
                <a:schemeClr val="tx1"/>
              </a:solidFill>
              <a:prstDash val="dash"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25400">
            <a:solidFill>
              <a:schemeClr val="tx1"/>
            </a:solidFill>
            <a:prstDash val="dash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20095872"/>
        <c:crosses val="autoZero"/>
        <c:crossBetween val="between"/>
        <c:majorUnit val="6"/>
      </c:valAx>
      <c:spPr>
        <a:noFill/>
        <a:ln w="25400"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46223629388983722"/>
          <c:y val="0.11158378823905485"/>
          <c:w val="0.47645981315272656"/>
          <c:h val="0.194741882322497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727272727272732E-2"/>
          <c:y val="9.5420025159576941E-2"/>
          <c:w val="0.82703226192775658"/>
          <c:h val="0.74809299725108325"/>
        </c:manualLayout>
      </c:layout>
      <c:lineChart>
        <c:grouping val="standard"/>
        <c:varyColors val="0"/>
        <c:ser>
          <c:idx val="0"/>
          <c:order val="0"/>
          <c:tx>
            <c:strRef>
              <c:f>Balance_hídrico!$A$9</c:f>
              <c:strCache>
                <c:ptCount val="1"/>
                <c:pt idx="0">
                  <c:v>ETP corr.</c:v>
                </c:pt>
              </c:strCache>
            </c:strRef>
          </c:tx>
          <c:spPr>
            <a:ln w="15875">
              <a:solidFill>
                <a:srgbClr val="00008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000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Balance_hídrico!$C$3:$O$3</c:f>
              <c:strCache>
                <c:ptCount val="13"/>
                <c:pt idx="0">
                  <c:v>S</c:v>
                </c:pt>
                <c:pt idx="1">
                  <c:v>O</c:v>
                </c:pt>
                <c:pt idx="2">
                  <c:v>N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M</c:v>
                </c:pt>
                <c:pt idx="7">
                  <c:v>A</c:v>
                </c:pt>
                <c:pt idx="8">
                  <c:v>M</c:v>
                </c:pt>
                <c:pt idx="9">
                  <c:v>J</c:v>
                </c:pt>
                <c:pt idx="10">
                  <c:v>Jl</c:v>
                </c:pt>
                <c:pt idx="11">
                  <c:v>A</c:v>
                </c:pt>
                <c:pt idx="12">
                  <c:v>set</c:v>
                </c:pt>
              </c:strCache>
            </c:strRef>
          </c:cat>
          <c:val>
            <c:numRef>
              <c:f>Balance_hídrico!$C$9:$O$9</c:f>
              <c:numCache>
                <c:formatCode>0.0</c:formatCode>
                <c:ptCount val="13"/>
                <c:pt idx="0">
                  <c:v>50.304906824992123</c:v>
                </c:pt>
                <c:pt idx="1">
                  <c:v>52.325808544133899</c:v>
                </c:pt>
                <c:pt idx="2">
                  <c:v>51.633372553872761</c:v>
                </c:pt>
                <c:pt idx="3">
                  <c:v>56.134559542984597</c:v>
                </c:pt>
                <c:pt idx="4">
                  <c:v>62.904231427213794</c:v>
                </c:pt>
                <c:pt idx="5">
                  <c:v>62.582949037255837</c:v>
                </c:pt>
                <c:pt idx="6">
                  <c:v>69.864921130158592</c:v>
                </c:pt>
                <c:pt idx="7">
                  <c:v>63.635064807025969</c:v>
                </c:pt>
                <c:pt idx="8">
                  <c:v>62.414650738811211</c:v>
                </c:pt>
                <c:pt idx="9">
                  <c:v>54.834466690999108</c:v>
                </c:pt>
                <c:pt idx="10">
                  <c:v>51.527394059005012</c:v>
                </c:pt>
                <c:pt idx="11">
                  <c:v>52.481556708249094</c:v>
                </c:pt>
                <c:pt idx="12">
                  <c:v>50.304906824992123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Balance_hídrico!$A$11</c:f>
              <c:strCache>
                <c:ptCount val="1"/>
                <c:pt idx="0">
                  <c:v>Precipitación</c:v>
                </c:pt>
              </c:strCache>
            </c:strRef>
          </c:tx>
          <c:spPr>
            <a:ln w="15875">
              <a:solidFill>
                <a:srgbClr val="008000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008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Balance_hídrico!$C$3:$O$3</c:f>
              <c:strCache>
                <c:ptCount val="13"/>
                <c:pt idx="0">
                  <c:v>S</c:v>
                </c:pt>
                <c:pt idx="1">
                  <c:v>O</c:v>
                </c:pt>
                <c:pt idx="2">
                  <c:v>N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M</c:v>
                </c:pt>
                <c:pt idx="7">
                  <c:v>A</c:v>
                </c:pt>
                <c:pt idx="8">
                  <c:v>M</c:v>
                </c:pt>
                <c:pt idx="9">
                  <c:v>J</c:v>
                </c:pt>
                <c:pt idx="10">
                  <c:v>Jl</c:v>
                </c:pt>
                <c:pt idx="11">
                  <c:v>A</c:v>
                </c:pt>
                <c:pt idx="12">
                  <c:v>set</c:v>
                </c:pt>
              </c:strCache>
            </c:strRef>
          </c:cat>
          <c:val>
            <c:numRef>
              <c:f>Balance_hídrico!$C$11:$O$11</c:f>
              <c:numCache>
                <c:formatCode>0.0</c:formatCode>
                <c:ptCount val="13"/>
                <c:pt idx="0">
                  <c:v>26.7</c:v>
                </c:pt>
                <c:pt idx="1">
                  <c:v>10.4</c:v>
                </c:pt>
                <c:pt idx="2">
                  <c:v>7.9</c:v>
                </c:pt>
                <c:pt idx="3">
                  <c:v>1.3</c:v>
                </c:pt>
                <c:pt idx="4">
                  <c:v>0.4</c:v>
                </c:pt>
                <c:pt idx="5">
                  <c:v>0</c:v>
                </c:pt>
                <c:pt idx="6">
                  <c:v>3.7</c:v>
                </c:pt>
                <c:pt idx="7">
                  <c:v>13.3</c:v>
                </c:pt>
                <c:pt idx="8">
                  <c:v>54.5</c:v>
                </c:pt>
                <c:pt idx="9">
                  <c:v>83.1</c:v>
                </c:pt>
                <c:pt idx="10">
                  <c:v>111.2</c:v>
                </c:pt>
                <c:pt idx="11">
                  <c:v>60</c:v>
                </c:pt>
                <c:pt idx="12">
                  <c:v>26.7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Balance_hídrico!$A$12</c:f>
              <c:strCache>
                <c:ptCount val="1"/>
                <c:pt idx="0">
                  <c:v>ETR</c:v>
                </c:pt>
              </c:strCache>
            </c:strRef>
          </c:tx>
          <c:spPr>
            <a:ln w="15875">
              <a:solidFill>
                <a:srgbClr val="FF6600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FF66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Balance_hídrico!$C$3:$O$3</c:f>
              <c:strCache>
                <c:ptCount val="13"/>
                <c:pt idx="0">
                  <c:v>S</c:v>
                </c:pt>
                <c:pt idx="1">
                  <c:v>O</c:v>
                </c:pt>
                <c:pt idx="2">
                  <c:v>N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M</c:v>
                </c:pt>
                <c:pt idx="7">
                  <c:v>A</c:v>
                </c:pt>
                <c:pt idx="8">
                  <c:v>M</c:v>
                </c:pt>
                <c:pt idx="9">
                  <c:v>J</c:v>
                </c:pt>
                <c:pt idx="10">
                  <c:v>Jl</c:v>
                </c:pt>
                <c:pt idx="11">
                  <c:v>A</c:v>
                </c:pt>
                <c:pt idx="12">
                  <c:v>set</c:v>
                </c:pt>
              </c:strCache>
            </c:strRef>
          </c:cat>
          <c:val>
            <c:numRef>
              <c:f>Balance_hídrico!$C$12:$O$12</c:f>
              <c:numCache>
                <c:formatCode>0.0</c:formatCode>
                <c:ptCount val="13"/>
                <c:pt idx="0">
                  <c:v>26.7</c:v>
                </c:pt>
                <c:pt idx="1">
                  <c:v>10.4</c:v>
                </c:pt>
                <c:pt idx="2">
                  <c:v>7.9</c:v>
                </c:pt>
                <c:pt idx="3">
                  <c:v>1.3</c:v>
                </c:pt>
                <c:pt idx="4">
                  <c:v>0.4</c:v>
                </c:pt>
                <c:pt idx="5">
                  <c:v>0</c:v>
                </c:pt>
                <c:pt idx="6">
                  <c:v>3.7</c:v>
                </c:pt>
                <c:pt idx="7">
                  <c:v>13.3</c:v>
                </c:pt>
                <c:pt idx="8">
                  <c:v>54.5</c:v>
                </c:pt>
                <c:pt idx="9">
                  <c:v>54.834466690999108</c:v>
                </c:pt>
                <c:pt idx="10">
                  <c:v>51.527394059005012</c:v>
                </c:pt>
                <c:pt idx="11">
                  <c:v>52.481556708249094</c:v>
                </c:pt>
                <c:pt idx="12">
                  <c:v>26.7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0099400"/>
        <c:axId val="220888688"/>
      </c:lineChart>
      <c:catAx>
        <c:axId val="2200994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20888688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220888688"/>
        <c:scaling>
          <c:orientation val="minMax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dash"/>
            </a:ln>
          </c:spPr>
        </c:majorGridlines>
        <c:numFmt formatCode="0" sourceLinked="0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20099400"/>
        <c:crosses val="autoZero"/>
        <c:crossBetween val="midCat"/>
      </c:valAx>
      <c:spPr>
        <a:noFill/>
        <a:ln w="25400">
          <a:solidFill>
            <a:schemeClr val="tx1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2473698272745848"/>
          <c:y val="0.12673511114978031"/>
          <c:w val="0.35009508541971174"/>
          <c:h val="0.21769115877089951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28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Geneva"/>
          <a:ea typeface="Geneva"/>
          <a:cs typeface="Geneva"/>
        </a:defRPr>
      </a:pPr>
      <a:endParaRPr lang="es-ES"/>
    </a:p>
  </c:txPr>
  <c:printSettings>
    <c:headerFooter alignWithMargins="0"/>
    <c:pageMargins b="1" l="0.75" r="0.75" t="1" header="0.4921259845" footer="0.492125984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Grados-día vegetación</a:t>
            </a:r>
          </a:p>
        </c:rich>
      </c:tx>
      <c:layout>
        <c:manualLayout>
          <c:xMode val="edge"/>
          <c:yMode val="edge"/>
          <c:x val="0.38081075416903692"/>
          <c:y val="5.164694413198350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973758861459397"/>
          <c:y val="0.13888935984076553"/>
          <c:w val="0.79649975692756436"/>
          <c:h val="0.66895485890350659"/>
        </c:manualLayout>
      </c:layout>
      <c:lineChart>
        <c:grouping val="standard"/>
        <c:varyColors val="0"/>
        <c:ser>
          <c:idx val="0"/>
          <c:order val="0"/>
          <c:tx>
            <c:v>Condiciones actuales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Índices_térmicos!$C$9:$N$9</c:f>
              <c:strCache>
                <c:ptCount val="12"/>
                <c:pt idx="0">
                  <c:v>SEP</c:v>
                </c:pt>
                <c:pt idx="1">
                  <c:v>OCT</c:v>
                </c:pt>
                <c:pt idx="2">
                  <c:v>NOV</c:v>
                </c:pt>
                <c:pt idx="3">
                  <c:v>DIC</c:v>
                </c:pt>
                <c:pt idx="4">
                  <c:v>ENE</c:v>
                </c:pt>
                <c:pt idx="5">
                  <c:v>FEB</c:v>
                </c:pt>
                <c:pt idx="6">
                  <c:v>MAR</c:v>
                </c:pt>
                <c:pt idx="7">
                  <c:v>ABR</c:v>
                </c:pt>
                <c:pt idx="8">
                  <c:v>MAY</c:v>
                </c:pt>
                <c:pt idx="9">
                  <c:v>JUN</c:v>
                </c:pt>
                <c:pt idx="10">
                  <c:v>JUL</c:v>
                </c:pt>
                <c:pt idx="11">
                  <c:v>AGO</c:v>
                </c:pt>
              </c:strCache>
            </c:strRef>
          </c:cat>
          <c:val>
            <c:numRef>
              <c:f>Índices_térmicos!$C$10:$N$10</c:f>
              <c:numCache>
                <c:formatCode>General</c:formatCode>
                <c:ptCount val="12"/>
                <c:pt idx="0">
                  <c:v>210</c:v>
                </c:pt>
                <c:pt idx="1">
                  <c:v>244.9</c:v>
                </c:pt>
                <c:pt idx="2">
                  <c:v>270</c:v>
                </c:pt>
                <c:pt idx="3">
                  <c:v>316.2</c:v>
                </c:pt>
                <c:pt idx="4">
                  <c:v>350.3</c:v>
                </c:pt>
                <c:pt idx="5">
                  <c:v>322.04999999999995</c:v>
                </c:pt>
                <c:pt idx="6">
                  <c:v>325.5</c:v>
                </c:pt>
                <c:pt idx="7">
                  <c:v>267</c:v>
                </c:pt>
                <c:pt idx="8">
                  <c:v>238.7</c:v>
                </c:pt>
                <c:pt idx="9">
                  <c:v>195</c:v>
                </c:pt>
                <c:pt idx="10">
                  <c:v>179.8</c:v>
                </c:pt>
                <c:pt idx="11">
                  <c:v>198.4</c:v>
                </c:pt>
              </c:numCache>
            </c:numRef>
          </c:val>
          <c:smooth val="0"/>
        </c:ser>
        <c:ser>
          <c:idx val="1"/>
          <c:order val="1"/>
          <c:tx>
            <c:v>Condicones cambio climático</c:v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Índices_térmicos!$C$9:$N$9</c:f>
              <c:strCache>
                <c:ptCount val="12"/>
                <c:pt idx="0">
                  <c:v>SEP</c:v>
                </c:pt>
                <c:pt idx="1">
                  <c:v>OCT</c:v>
                </c:pt>
                <c:pt idx="2">
                  <c:v>NOV</c:v>
                </c:pt>
                <c:pt idx="3">
                  <c:v>DIC</c:v>
                </c:pt>
                <c:pt idx="4">
                  <c:v>ENE</c:v>
                </c:pt>
                <c:pt idx="5">
                  <c:v>FEB</c:v>
                </c:pt>
                <c:pt idx="6">
                  <c:v>MAR</c:v>
                </c:pt>
                <c:pt idx="7">
                  <c:v>ABR</c:v>
                </c:pt>
                <c:pt idx="8">
                  <c:v>MAY</c:v>
                </c:pt>
                <c:pt idx="9">
                  <c:v>JUN</c:v>
                </c:pt>
                <c:pt idx="10">
                  <c:v>JUL</c:v>
                </c:pt>
                <c:pt idx="11">
                  <c:v>AGO</c:v>
                </c:pt>
              </c:strCache>
            </c:strRef>
          </c:cat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0099008"/>
        <c:axId val="220098616"/>
      </c:lineChart>
      <c:catAx>
        <c:axId val="2200990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Meses</a:t>
                </a:r>
              </a:p>
            </c:rich>
          </c:tx>
          <c:layout>
            <c:manualLayout>
              <c:xMode val="edge"/>
              <c:yMode val="edge"/>
              <c:x val="0.48956857579114399"/>
              <c:y val="0.929059167604049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20098616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2200986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0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Grados día</a:t>
                </a:r>
              </a:p>
            </c:rich>
          </c:tx>
          <c:layout>
            <c:manualLayout>
              <c:xMode val="edge"/>
              <c:yMode val="edge"/>
              <c:x val="1.0702473977825016E-2"/>
              <c:y val="0.3322231721034870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20099008"/>
        <c:crosses val="autoZero"/>
        <c:crossBetween val="between"/>
        <c:majorUnit val="20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Grados-día calefacción/refrigeración
</a:t>
            </a:r>
          </a:p>
        </c:rich>
      </c:tx>
      <c:layout>
        <c:manualLayout>
          <c:xMode val="edge"/>
          <c:yMode val="edge"/>
          <c:x val="0.30509308193342372"/>
          <c:y val="1.299529509275736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997829137842202"/>
          <c:y val="0.13698653043819972"/>
          <c:w val="0.76159104578643633"/>
          <c:h val="0.63928101866523646"/>
        </c:manualLayout>
      </c:layout>
      <c:lineChart>
        <c:grouping val="standard"/>
        <c:varyColors val="0"/>
        <c:ser>
          <c:idx val="0"/>
          <c:order val="0"/>
          <c:tx>
            <c:strRef>
              <c:f>Índices_térmicos!$A$11</c:f>
              <c:strCache>
                <c:ptCount val="1"/>
                <c:pt idx="0">
                  <c:v>De calefacción</c:v>
                </c:pt>
              </c:strCache>
            </c:strRef>
          </c:tx>
          <c:spPr>
            <a:ln w="25400">
              <a:solidFill>
                <a:srgbClr val="C00000"/>
              </a:solidFill>
              <a:prstDash val="solid"/>
            </a:ln>
          </c:spPr>
          <c:marker>
            <c:symbol val="none"/>
          </c:marker>
          <c:cat>
            <c:strRef>
              <c:f>Índices_térmicos!$C$9:$N$9</c:f>
              <c:strCache>
                <c:ptCount val="12"/>
                <c:pt idx="0">
                  <c:v>SEP</c:v>
                </c:pt>
                <c:pt idx="1">
                  <c:v>OCT</c:v>
                </c:pt>
                <c:pt idx="2">
                  <c:v>NOV</c:v>
                </c:pt>
                <c:pt idx="3">
                  <c:v>DIC</c:v>
                </c:pt>
                <c:pt idx="4">
                  <c:v>ENE</c:v>
                </c:pt>
                <c:pt idx="5">
                  <c:v>FEB</c:v>
                </c:pt>
                <c:pt idx="6">
                  <c:v>MAR</c:v>
                </c:pt>
                <c:pt idx="7">
                  <c:v>ABR</c:v>
                </c:pt>
                <c:pt idx="8">
                  <c:v>MAY</c:v>
                </c:pt>
                <c:pt idx="9">
                  <c:v>JUN</c:v>
                </c:pt>
                <c:pt idx="10">
                  <c:v>JUL</c:v>
                </c:pt>
                <c:pt idx="11">
                  <c:v>AGO</c:v>
                </c:pt>
              </c:strCache>
            </c:strRef>
          </c:cat>
          <c:val>
            <c:numRef>
              <c:f>Índices_térmicos!$C$11:$N$11</c:f>
              <c:numCache>
                <c:formatCode>General</c:formatCode>
                <c:ptCount val="12"/>
                <c:pt idx="0">
                  <c:v>60</c:v>
                </c:pt>
                <c:pt idx="1">
                  <c:v>34.099999999999987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2.9999999999999893</c:v>
                </c:pt>
                <c:pt idx="8">
                  <c:v>40.300000000000026</c:v>
                </c:pt>
                <c:pt idx="9">
                  <c:v>75</c:v>
                </c:pt>
                <c:pt idx="10">
                  <c:v>99.199999999999974</c:v>
                </c:pt>
                <c:pt idx="11">
                  <c:v>80.599999999999994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Índices_térmicos!$A$12</c:f>
              <c:strCache>
                <c:ptCount val="1"/>
                <c:pt idx="0">
                  <c:v>De refrigeración</c:v>
                </c:pt>
              </c:strCache>
            </c:strRef>
          </c:tx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val>
            <c:numRef>
              <c:f>Índices_térmicos!$C$12:$N$12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0097832"/>
        <c:axId val="220097440"/>
      </c:lineChart>
      <c:catAx>
        <c:axId val="2200978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Meses</a:t>
                </a:r>
              </a:p>
            </c:rich>
          </c:tx>
          <c:layout>
            <c:manualLayout>
              <c:xMode val="edge"/>
              <c:yMode val="edge"/>
              <c:x val="0.49889723165648769"/>
              <c:y val="0.8713627979165142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2009744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2200974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0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Grados  día</a:t>
                </a:r>
              </a:p>
            </c:rich>
          </c:tx>
          <c:layout>
            <c:manualLayout>
              <c:xMode val="edge"/>
              <c:yMode val="edge"/>
              <c:x val="1.3244998146991781E-2"/>
              <c:y val="0.2979456050965765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20097832"/>
        <c:crosses val="autoZero"/>
        <c:crossBetween val="between"/>
        <c:majorUnit val="100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7218578818846869"/>
          <c:y val="0.93230361684665575"/>
          <c:w val="0.75939465013681795"/>
          <c:h val="6.769638315334422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Consumo eléctrico</a:t>
            </a:r>
          </a:p>
        </c:rich>
      </c:tx>
      <c:layout>
        <c:manualLayout>
          <c:xMode val="edge"/>
          <c:yMode val="edge"/>
          <c:x val="0.44249084249084247"/>
          <c:y val="5.166216829128653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033618874563758"/>
          <c:y val="0.1448765750548239"/>
          <c:w val="0.7756527357157279"/>
          <c:h val="0.68380510509840664"/>
        </c:manualLayout>
      </c:layout>
      <c:lineChart>
        <c:grouping val="standard"/>
        <c:varyColors val="0"/>
        <c:ser>
          <c:idx val="0"/>
          <c:order val="0"/>
          <c:tx>
            <c:v>Condiciones actuales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Índices_térmicos!$C$9:$N$9</c:f>
              <c:strCache>
                <c:ptCount val="12"/>
                <c:pt idx="0">
                  <c:v>SEP</c:v>
                </c:pt>
                <c:pt idx="1">
                  <c:v>OCT</c:v>
                </c:pt>
                <c:pt idx="2">
                  <c:v>NOV</c:v>
                </c:pt>
                <c:pt idx="3">
                  <c:v>DIC</c:v>
                </c:pt>
                <c:pt idx="4">
                  <c:v>ENE</c:v>
                </c:pt>
                <c:pt idx="5">
                  <c:v>FEB</c:v>
                </c:pt>
                <c:pt idx="6">
                  <c:v>MAR</c:v>
                </c:pt>
                <c:pt idx="7">
                  <c:v>ABR</c:v>
                </c:pt>
                <c:pt idx="8">
                  <c:v>MAY</c:v>
                </c:pt>
                <c:pt idx="9">
                  <c:v>JUN</c:v>
                </c:pt>
                <c:pt idx="10">
                  <c:v>JUL</c:v>
                </c:pt>
                <c:pt idx="11">
                  <c:v>AGO</c:v>
                </c:pt>
              </c:strCache>
            </c:strRef>
          </c:cat>
          <c:val>
            <c:numRef>
              <c:f>Índices_térmicos!$C$17:$N$17</c:f>
              <c:numCache>
                <c:formatCode>General</c:formatCode>
                <c:ptCount val="12"/>
                <c:pt idx="0">
                  <c:v>800</c:v>
                </c:pt>
                <c:pt idx="1">
                  <c:v>540.99999999999989</c:v>
                </c:pt>
                <c:pt idx="2">
                  <c:v>200</c:v>
                </c:pt>
                <c:pt idx="3">
                  <c:v>200</c:v>
                </c:pt>
                <c:pt idx="4">
                  <c:v>200</c:v>
                </c:pt>
                <c:pt idx="5">
                  <c:v>200</c:v>
                </c:pt>
                <c:pt idx="6">
                  <c:v>200</c:v>
                </c:pt>
                <c:pt idx="7">
                  <c:v>229.99999999999989</c:v>
                </c:pt>
                <c:pt idx="8">
                  <c:v>603.00000000000023</c:v>
                </c:pt>
                <c:pt idx="9">
                  <c:v>950</c:v>
                </c:pt>
                <c:pt idx="10">
                  <c:v>1191.9999999999998</c:v>
                </c:pt>
                <c:pt idx="11">
                  <c:v>1006</c:v>
                </c:pt>
              </c:numCache>
            </c:numRef>
          </c:val>
          <c:smooth val="0"/>
        </c:ser>
        <c:ser>
          <c:idx val="1"/>
          <c:order val="1"/>
          <c:tx>
            <c:v>Condiciones cambio climático</c:v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Índices_térmicos!$C$9:$N$9</c:f>
              <c:strCache>
                <c:ptCount val="12"/>
                <c:pt idx="0">
                  <c:v>SEP</c:v>
                </c:pt>
                <c:pt idx="1">
                  <c:v>OCT</c:v>
                </c:pt>
                <c:pt idx="2">
                  <c:v>NOV</c:v>
                </c:pt>
                <c:pt idx="3">
                  <c:v>DIC</c:v>
                </c:pt>
                <c:pt idx="4">
                  <c:v>ENE</c:v>
                </c:pt>
                <c:pt idx="5">
                  <c:v>FEB</c:v>
                </c:pt>
                <c:pt idx="6">
                  <c:v>MAR</c:v>
                </c:pt>
                <c:pt idx="7">
                  <c:v>ABR</c:v>
                </c:pt>
                <c:pt idx="8">
                  <c:v>MAY</c:v>
                </c:pt>
                <c:pt idx="9">
                  <c:v>JUN</c:v>
                </c:pt>
                <c:pt idx="10">
                  <c:v>JUL</c:v>
                </c:pt>
                <c:pt idx="11">
                  <c:v>AGO</c:v>
                </c:pt>
              </c:strCache>
            </c:strRef>
          </c:cat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0890256"/>
        <c:axId val="220890648"/>
      </c:lineChart>
      <c:catAx>
        <c:axId val="2208902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Meses</a:t>
                </a:r>
              </a:p>
            </c:rich>
          </c:tx>
          <c:layout>
            <c:manualLayout>
              <c:xMode val="edge"/>
              <c:yMode val="edge"/>
              <c:x val="0.47179487179487178"/>
              <c:y val="0.918362442655008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20890648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220890648"/>
        <c:scaling>
          <c:orientation val="minMax"/>
          <c:max val="5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kW</a:t>
                </a:r>
              </a:p>
            </c:rich>
          </c:tx>
          <c:layout>
            <c:manualLayout>
              <c:xMode val="edge"/>
              <c:yMode val="edge"/>
              <c:x val="2.197802197802198E-2"/>
              <c:y val="0.4028275077513327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20890256"/>
        <c:crosses val="autoZero"/>
        <c:crossBetween val="between"/>
        <c:majorUnit val="100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4" Type="http://schemas.openxmlformats.org/officeDocument/2006/relationships/chart" Target="../charts/chart5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chart" Target="../charts/chart6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5</xdr:row>
      <xdr:rowOff>114300</xdr:rowOff>
    </xdr:from>
    <xdr:to>
      <xdr:col>9</xdr:col>
      <xdr:colOff>409575</xdr:colOff>
      <xdr:row>30</xdr:row>
      <xdr:rowOff>0</xdr:rowOff>
    </xdr:to>
    <xdr:graphicFrame macro="">
      <xdr:nvGraphicFramePr>
        <xdr:cNvPr id="207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0</xdr:row>
      <xdr:rowOff>157162</xdr:rowOff>
    </xdr:from>
    <xdr:to>
      <xdr:col>10</xdr:col>
      <xdr:colOff>9525</xdr:colOff>
      <xdr:row>16</xdr:row>
      <xdr:rowOff>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9525</xdr:colOff>
      <xdr:row>16</xdr:row>
      <xdr:rowOff>142875</xdr:rowOff>
    </xdr:from>
    <xdr:to>
      <xdr:col>10</xdr:col>
      <xdr:colOff>9525</xdr:colOff>
      <xdr:row>31</xdr:row>
      <xdr:rowOff>147638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38100</xdr:colOff>
      <xdr:row>33</xdr:row>
      <xdr:rowOff>152400</xdr:rowOff>
    </xdr:from>
    <xdr:to>
      <xdr:col>10</xdr:col>
      <xdr:colOff>38100</xdr:colOff>
      <xdr:row>48</xdr:row>
      <xdr:rowOff>157163</xdr:rowOff>
    </xdr:to>
    <xdr:graphicFrame macro="">
      <xdr:nvGraphicFramePr>
        <xdr:cNvPr id="7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17</xdr:col>
      <xdr:colOff>9525</xdr:colOff>
      <xdr:row>2</xdr:row>
      <xdr:rowOff>23811</xdr:rowOff>
    </xdr:from>
    <xdr:to>
      <xdr:col>22</xdr:col>
      <xdr:colOff>142875</xdr:colOff>
      <xdr:row>15</xdr:row>
      <xdr:rowOff>152399</xdr:rowOff>
    </xdr:to>
    <xdr:graphicFrame macro="">
      <xdr:nvGraphicFramePr>
        <xdr:cNvPr id="8" name="Gráfico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15</xdr:row>
      <xdr:rowOff>28575</xdr:rowOff>
    </xdr:from>
    <xdr:to>
      <xdr:col>16</xdr:col>
      <xdr:colOff>0</xdr:colOff>
      <xdr:row>36</xdr:row>
      <xdr:rowOff>142875</xdr:rowOff>
    </xdr:to>
    <xdr:graphicFrame macro="">
      <xdr:nvGraphicFramePr>
        <xdr:cNvPr id="5172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19</xdr:col>
      <xdr:colOff>276225</xdr:colOff>
      <xdr:row>7</xdr:row>
      <xdr:rowOff>0</xdr:rowOff>
    </xdr:from>
    <xdr:to>
      <xdr:col>24</xdr:col>
      <xdr:colOff>114300</xdr:colOff>
      <xdr:row>19</xdr:row>
      <xdr:rowOff>0</xdr:rowOff>
    </xdr:to>
    <xdr:pic>
      <xdr:nvPicPr>
        <xdr:cNvPr id="5173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05775" y="1400175"/>
          <a:ext cx="3390900" cy="2085975"/>
        </a:xfrm>
        <a:prstGeom prst="rect">
          <a:avLst/>
        </a:prstGeom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142875</xdr:colOff>
          <xdr:row>19</xdr:row>
          <xdr:rowOff>57150</xdr:rowOff>
        </xdr:from>
        <xdr:to>
          <xdr:col>24</xdr:col>
          <xdr:colOff>323850</xdr:colOff>
          <xdr:row>38</xdr:row>
          <xdr:rowOff>114300</xdr:rowOff>
        </xdr:to>
        <xdr:sp macro="" textlink="">
          <xdr:nvSpPr>
            <xdr:cNvPr id="5137" name="Object 17" hidden="1">
              <a:extLst>
                <a:ext uri="{63B3BB69-23CF-44E3-9099-C40C66FF867C}">
                  <a14:compatExt spid="_x0000_s51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DBB7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276225</xdr:colOff>
      <xdr:row>18</xdr:row>
      <xdr:rowOff>47625</xdr:rowOff>
    </xdr:from>
    <xdr:to>
      <xdr:col>9</xdr:col>
      <xdr:colOff>438150</xdr:colOff>
      <xdr:row>38</xdr:row>
      <xdr:rowOff>142875</xdr:rowOff>
    </xdr:to>
    <xdr:graphicFrame macro="">
      <xdr:nvGraphicFramePr>
        <xdr:cNvPr id="36898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133350</xdr:colOff>
      <xdr:row>18</xdr:row>
      <xdr:rowOff>28575</xdr:rowOff>
    </xdr:from>
    <xdr:to>
      <xdr:col>18</xdr:col>
      <xdr:colOff>714375</xdr:colOff>
      <xdr:row>37</xdr:row>
      <xdr:rowOff>28575</xdr:rowOff>
    </xdr:to>
    <xdr:graphicFrame macro="">
      <xdr:nvGraphicFramePr>
        <xdr:cNvPr id="36899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200025</xdr:colOff>
      <xdr:row>38</xdr:row>
      <xdr:rowOff>19050</xdr:rowOff>
    </xdr:from>
    <xdr:to>
      <xdr:col>14</xdr:col>
      <xdr:colOff>504825</xdr:colOff>
      <xdr:row>58</xdr:row>
      <xdr:rowOff>142875</xdr:rowOff>
    </xdr:to>
    <xdr:graphicFrame macro="">
      <xdr:nvGraphicFramePr>
        <xdr:cNvPr id="36900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523875</xdr:colOff>
      <xdr:row>9</xdr:row>
      <xdr:rowOff>23812</xdr:rowOff>
    </xdr:from>
    <xdr:to>
      <xdr:col>20</xdr:col>
      <xdr:colOff>733425</xdr:colOff>
      <xdr:row>27</xdr:row>
      <xdr:rowOff>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Relationship Id="rId6" Type="http://schemas.openxmlformats.org/officeDocument/2006/relationships/comments" Target="../comments1.xml"/><Relationship Id="rId5" Type="http://schemas.openxmlformats.org/officeDocument/2006/relationships/image" Target="../media/image1.emf"/><Relationship Id="rId4" Type="http://schemas.openxmlformats.org/officeDocument/2006/relationships/oleObject" Target="../embeddings/Documento_de_Microsoft_Word_97-20031.doc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6"/>
  <sheetViews>
    <sheetView workbookViewId="0">
      <selection activeCell="A10" sqref="A10"/>
    </sheetView>
  </sheetViews>
  <sheetFormatPr baseColWidth="10" defaultRowHeight="15"/>
  <cols>
    <col min="1" max="1" width="41" style="201" customWidth="1"/>
    <col min="2" max="13" width="5.85546875" style="201" customWidth="1"/>
    <col min="14" max="14" width="9.28515625" style="201" customWidth="1"/>
    <col min="15" max="16384" width="11.42578125" style="201"/>
  </cols>
  <sheetData>
    <row r="2" spans="1:14" ht="15" customHeight="1">
      <c r="A2" s="394" t="s">
        <v>239</v>
      </c>
      <c r="B2" s="394"/>
      <c r="C2" s="394"/>
      <c r="D2" s="394"/>
      <c r="E2" s="394"/>
      <c r="F2" s="394"/>
      <c r="G2" s="394"/>
      <c r="H2" s="394"/>
      <c r="I2" s="394"/>
      <c r="J2" s="394"/>
      <c r="K2" s="394"/>
      <c r="L2" s="394"/>
      <c r="M2" s="394"/>
      <c r="N2" s="394"/>
    </row>
    <row r="3" spans="1:14">
      <c r="A3" s="223" t="s">
        <v>178</v>
      </c>
      <c r="B3" s="223" t="s">
        <v>7</v>
      </c>
      <c r="C3" s="223" t="s">
        <v>8</v>
      </c>
      <c r="D3" s="223" t="s">
        <v>9</v>
      </c>
      <c r="E3" s="223" t="s">
        <v>10</v>
      </c>
      <c r="F3" s="223" t="s">
        <v>11</v>
      </c>
      <c r="G3" s="223" t="s">
        <v>12</v>
      </c>
      <c r="H3" s="223" t="s">
        <v>13</v>
      </c>
      <c r="I3" s="223" t="s">
        <v>14</v>
      </c>
      <c r="J3" s="223" t="s">
        <v>15</v>
      </c>
      <c r="K3" s="223" t="s">
        <v>16</v>
      </c>
      <c r="L3" s="223" t="s">
        <v>17</v>
      </c>
      <c r="M3" s="223" t="s">
        <v>18</v>
      </c>
      <c r="N3" s="223" t="s">
        <v>135</v>
      </c>
    </row>
    <row r="4" spans="1:14">
      <c r="A4" s="201" t="s">
        <v>156</v>
      </c>
      <c r="B4" s="303" t="s">
        <v>238</v>
      </c>
      <c r="C4" s="233" t="s">
        <v>237</v>
      </c>
      <c r="D4" s="220" t="s">
        <v>236</v>
      </c>
      <c r="E4" s="302" t="s">
        <v>235</v>
      </c>
      <c r="F4" s="301" t="s">
        <v>234</v>
      </c>
      <c r="G4" s="296" t="s">
        <v>227</v>
      </c>
      <c r="H4" s="300" t="s">
        <v>233</v>
      </c>
      <c r="I4" s="299" t="s">
        <v>232</v>
      </c>
      <c r="J4" s="298" t="s">
        <v>231</v>
      </c>
      <c r="K4" s="297" t="s">
        <v>230</v>
      </c>
      <c r="L4" s="245" t="s">
        <v>229</v>
      </c>
      <c r="M4" s="244" t="s">
        <v>228</v>
      </c>
      <c r="N4" s="296" t="s">
        <v>227</v>
      </c>
    </row>
    <row r="5" spans="1:14">
      <c r="A5" s="201" t="s">
        <v>153</v>
      </c>
      <c r="B5" s="295" t="s">
        <v>226</v>
      </c>
      <c r="C5" s="294" t="s">
        <v>225</v>
      </c>
      <c r="D5" s="212" t="s">
        <v>224</v>
      </c>
      <c r="E5" s="218" t="s">
        <v>223</v>
      </c>
      <c r="F5" s="243" t="s">
        <v>222</v>
      </c>
      <c r="G5" s="293" t="s">
        <v>221</v>
      </c>
      <c r="H5" s="232" t="s">
        <v>220</v>
      </c>
      <c r="I5" s="238" t="s">
        <v>219</v>
      </c>
      <c r="J5" s="221" t="s">
        <v>218</v>
      </c>
      <c r="K5" s="287" t="s">
        <v>207</v>
      </c>
      <c r="L5" s="292" t="s">
        <v>217</v>
      </c>
      <c r="M5" s="217" t="s">
        <v>216</v>
      </c>
      <c r="N5" s="213" t="s">
        <v>215</v>
      </c>
    </row>
    <row r="6" spans="1:14">
      <c r="A6" s="201" t="s">
        <v>154</v>
      </c>
      <c r="B6" s="291" t="s">
        <v>214</v>
      </c>
      <c r="C6" s="242" t="s">
        <v>213</v>
      </c>
      <c r="D6" s="211" t="s">
        <v>212</v>
      </c>
      <c r="E6" s="290" t="s">
        <v>211</v>
      </c>
      <c r="F6" s="289" t="s">
        <v>210</v>
      </c>
      <c r="G6" s="231" t="s">
        <v>209</v>
      </c>
      <c r="H6" s="288" t="s">
        <v>208</v>
      </c>
      <c r="I6" s="287" t="s">
        <v>207</v>
      </c>
      <c r="J6" s="219" t="s">
        <v>206</v>
      </c>
      <c r="K6" s="286" t="s">
        <v>205</v>
      </c>
      <c r="L6" s="285" t="s">
        <v>204</v>
      </c>
      <c r="M6" s="277" t="s">
        <v>190</v>
      </c>
      <c r="N6" s="284" t="s">
        <v>203</v>
      </c>
    </row>
    <row r="7" spans="1:14">
      <c r="A7" s="201" t="s">
        <v>155</v>
      </c>
      <c r="B7" s="283" t="s">
        <v>202</v>
      </c>
      <c r="C7" s="282" t="s">
        <v>201</v>
      </c>
      <c r="D7" s="281" t="s">
        <v>200</v>
      </c>
      <c r="E7" s="215" t="s">
        <v>199</v>
      </c>
      <c r="F7" s="216" t="s">
        <v>198</v>
      </c>
      <c r="G7" s="209" t="s">
        <v>197</v>
      </c>
      <c r="H7" s="222" t="s">
        <v>196</v>
      </c>
      <c r="I7" s="214" t="s">
        <v>195</v>
      </c>
      <c r="J7" s="280" t="s">
        <v>194</v>
      </c>
      <c r="K7" s="279" t="s">
        <v>193</v>
      </c>
      <c r="L7" s="210" t="s">
        <v>192</v>
      </c>
      <c r="M7" s="278" t="s">
        <v>191</v>
      </c>
      <c r="N7" s="277" t="s">
        <v>190</v>
      </c>
    </row>
    <row r="8" spans="1:14">
      <c r="A8" s="201" t="s">
        <v>157</v>
      </c>
      <c r="B8" s="271" t="s">
        <v>180</v>
      </c>
      <c r="C8" s="272" t="s">
        <v>181</v>
      </c>
      <c r="D8" s="276" t="s">
        <v>189</v>
      </c>
      <c r="E8" s="275" t="s">
        <v>188</v>
      </c>
      <c r="F8" s="274" t="s">
        <v>187</v>
      </c>
      <c r="G8" s="206" t="s">
        <v>186</v>
      </c>
      <c r="H8" s="273" t="s">
        <v>185</v>
      </c>
      <c r="I8" s="273" t="s">
        <v>185</v>
      </c>
      <c r="J8" s="208" t="s">
        <v>184</v>
      </c>
      <c r="K8" s="207" t="s">
        <v>183</v>
      </c>
      <c r="L8" s="237" t="s">
        <v>182</v>
      </c>
      <c r="M8" s="272" t="s">
        <v>181</v>
      </c>
      <c r="N8" s="271" t="s">
        <v>180</v>
      </c>
    </row>
    <row r="9" spans="1:14">
      <c r="A9" s="201" t="s">
        <v>158</v>
      </c>
      <c r="B9" s="230">
        <v>106</v>
      </c>
      <c r="C9" s="270">
        <v>92</v>
      </c>
      <c r="D9" s="203">
        <v>88</v>
      </c>
      <c r="E9" s="230">
        <v>102</v>
      </c>
      <c r="F9" s="205">
        <v>78</v>
      </c>
      <c r="G9" s="269">
        <v>58</v>
      </c>
      <c r="H9" s="236">
        <v>52</v>
      </c>
      <c r="I9" s="204">
        <v>73</v>
      </c>
      <c r="J9" s="268">
        <v>83</v>
      </c>
      <c r="K9" s="267">
        <v>120</v>
      </c>
      <c r="L9" s="229">
        <v>157</v>
      </c>
      <c r="M9" s="266">
        <v>118</v>
      </c>
      <c r="N9" s="265">
        <v>1.129</v>
      </c>
    </row>
    <row r="10" spans="1:14">
      <c r="A10" s="201" t="s">
        <v>177</v>
      </c>
      <c r="B10" s="258">
        <v>12</v>
      </c>
      <c r="C10" s="258">
        <v>11</v>
      </c>
      <c r="D10" s="263">
        <v>10</v>
      </c>
      <c r="E10" s="264">
        <v>12</v>
      </c>
      <c r="F10" s="263">
        <v>10</v>
      </c>
      <c r="G10" s="262">
        <v>8</v>
      </c>
      <c r="H10" s="261">
        <v>7</v>
      </c>
      <c r="I10" s="260">
        <v>8</v>
      </c>
      <c r="J10" s="202">
        <v>9</v>
      </c>
      <c r="K10" s="259">
        <v>11</v>
      </c>
      <c r="L10" s="241">
        <v>13</v>
      </c>
      <c r="M10" s="258">
        <v>12</v>
      </c>
      <c r="N10" s="257">
        <v>124</v>
      </c>
    </row>
    <row r="11" spans="1:14">
      <c r="A11" s="201" t="s">
        <v>159</v>
      </c>
      <c r="B11" s="235">
        <v>72</v>
      </c>
      <c r="C11" s="235">
        <v>72</v>
      </c>
      <c r="D11" s="227">
        <v>71</v>
      </c>
      <c r="E11" s="235">
        <v>72</v>
      </c>
      <c r="F11" s="228">
        <v>74</v>
      </c>
      <c r="G11" s="226">
        <v>75</v>
      </c>
      <c r="H11" s="226">
        <v>75</v>
      </c>
      <c r="I11" s="225">
        <v>76</v>
      </c>
      <c r="J11" s="225">
        <v>76</v>
      </c>
      <c r="K11" s="226">
        <v>75</v>
      </c>
      <c r="L11" s="226">
        <v>75</v>
      </c>
      <c r="M11" s="256">
        <v>73</v>
      </c>
      <c r="N11" s="228">
        <v>74</v>
      </c>
    </row>
    <row r="12" spans="1:14">
      <c r="A12" s="201" t="s">
        <v>160</v>
      </c>
      <c r="B12" s="255">
        <v>85</v>
      </c>
      <c r="C12" s="254">
        <v>104</v>
      </c>
      <c r="D12" s="253">
        <v>135</v>
      </c>
      <c r="E12" s="252">
        <v>149</v>
      </c>
      <c r="F12" s="240">
        <v>172</v>
      </c>
      <c r="G12" s="224">
        <v>178</v>
      </c>
      <c r="H12" s="251">
        <v>187</v>
      </c>
      <c r="I12" s="234">
        <v>180</v>
      </c>
      <c r="J12" s="239">
        <v>160</v>
      </c>
      <c r="K12" s="250">
        <v>129</v>
      </c>
      <c r="L12" s="249">
        <v>93</v>
      </c>
      <c r="M12" s="248">
        <v>74</v>
      </c>
      <c r="N12" s="247">
        <v>1.649</v>
      </c>
    </row>
    <row r="13" spans="1:14" ht="18.75" customHeight="1">
      <c r="A13" s="201" t="s">
        <v>161</v>
      </c>
      <c r="B13" s="246">
        <f t="shared" ref="B13:M13" si="0">B12/31</f>
        <v>2.7419354838709675</v>
      </c>
      <c r="C13" s="246">
        <f t="shared" si="0"/>
        <v>3.3548387096774195</v>
      </c>
      <c r="D13" s="246">
        <f t="shared" si="0"/>
        <v>4.354838709677419</v>
      </c>
      <c r="E13" s="246">
        <f t="shared" si="0"/>
        <v>4.806451612903226</v>
      </c>
      <c r="F13" s="246">
        <f t="shared" si="0"/>
        <v>5.5483870967741939</v>
      </c>
      <c r="G13" s="246">
        <f t="shared" si="0"/>
        <v>5.741935483870968</v>
      </c>
      <c r="H13" s="246">
        <f t="shared" si="0"/>
        <v>6.032258064516129</v>
      </c>
      <c r="I13" s="246">
        <f t="shared" si="0"/>
        <v>5.806451612903226</v>
      </c>
      <c r="J13" s="246">
        <f t="shared" si="0"/>
        <v>5.161290322580645</v>
      </c>
      <c r="K13" s="246">
        <f t="shared" si="0"/>
        <v>4.161290322580645</v>
      </c>
      <c r="L13" s="246">
        <f t="shared" si="0"/>
        <v>3</v>
      </c>
      <c r="M13" s="246">
        <f t="shared" si="0"/>
        <v>2.3870967741935485</v>
      </c>
      <c r="N13" s="246">
        <f>AVERAGE(B13:M13)</f>
        <v>4.424731182795699</v>
      </c>
    </row>
    <row r="14" spans="1:14" ht="18.75" customHeight="1">
      <c r="A14" s="304" t="s">
        <v>242</v>
      </c>
      <c r="B14" s="246">
        <v>12.9</v>
      </c>
      <c r="C14" s="246">
        <v>12.7</v>
      </c>
      <c r="D14" s="246">
        <v>12.8</v>
      </c>
      <c r="E14" s="246">
        <v>13.8</v>
      </c>
      <c r="F14" s="246">
        <v>15.8</v>
      </c>
      <c r="G14" s="246">
        <v>18.399999999999999</v>
      </c>
      <c r="H14" s="246">
        <v>20.2</v>
      </c>
      <c r="I14" s="246">
        <v>21.2</v>
      </c>
      <c r="J14" s="246">
        <v>20.399999999999999</v>
      </c>
      <c r="K14" s="246">
        <v>18.7</v>
      </c>
      <c r="L14" s="246">
        <v>16.5</v>
      </c>
      <c r="M14" s="246">
        <v>14.4</v>
      </c>
      <c r="N14" s="246"/>
    </row>
    <row r="16" spans="1:14" ht="18.75" customHeight="1"/>
  </sheetData>
  <mergeCells count="1">
    <mergeCell ref="A2:N2"/>
  </mergeCells>
  <pageMargins left="0.7" right="0.7" top="0.75" bottom="0.75" header="0.3" footer="0.3"/>
  <pageSetup paperSize="9" orientation="portrait" horizontalDpi="30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topLeftCell="A10" workbookViewId="0">
      <selection activeCell="A30" sqref="A30"/>
    </sheetView>
  </sheetViews>
  <sheetFormatPr baseColWidth="10" defaultRowHeight="12.75"/>
  <cols>
    <col min="1" max="1" width="40.42578125" customWidth="1"/>
    <col min="2" max="13" width="7" customWidth="1"/>
  </cols>
  <sheetData>
    <row r="1" spans="1:13" ht="15.75">
      <c r="A1" s="162"/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</row>
    <row r="2" spans="1:13" ht="16.5" thickBot="1">
      <c r="A2" s="162" t="s">
        <v>144</v>
      </c>
      <c r="B2" s="175" t="s">
        <v>26</v>
      </c>
      <c r="C2" s="175" t="s">
        <v>27</v>
      </c>
      <c r="D2" s="175" t="s">
        <v>28</v>
      </c>
      <c r="E2" s="175" t="s">
        <v>29</v>
      </c>
      <c r="F2" s="175" t="s">
        <v>30</v>
      </c>
      <c r="G2" s="175" t="s">
        <v>31</v>
      </c>
      <c r="H2" s="175" t="s">
        <v>32</v>
      </c>
      <c r="I2" s="175" t="s">
        <v>33</v>
      </c>
      <c r="J2" s="175" t="s">
        <v>34</v>
      </c>
      <c r="K2" s="175" t="s">
        <v>23</v>
      </c>
      <c r="L2" s="175" t="s">
        <v>24</v>
      </c>
      <c r="M2" s="175" t="s">
        <v>25</v>
      </c>
    </row>
    <row r="3" spans="1:13" ht="15.75">
      <c r="A3" s="176" t="s">
        <v>153</v>
      </c>
      <c r="B3" s="177">
        <f>Datos_básicos!B12</f>
        <v>20.8</v>
      </c>
      <c r="C3" s="177">
        <f>Datos_básicos!C12</f>
        <v>21.2</v>
      </c>
      <c r="D3" s="177">
        <f>Datos_básicos!D12</f>
        <v>20.2</v>
      </c>
      <c r="E3" s="177">
        <f>Datos_básicos!E12</f>
        <v>18.8</v>
      </c>
      <c r="F3" s="177">
        <f>Datos_básicos!F12</f>
        <v>17</v>
      </c>
      <c r="G3" s="177">
        <f>Datos_básicos!G12</f>
        <v>15.8</v>
      </c>
      <c r="H3" s="177">
        <f>Datos_básicos!H12</f>
        <v>15.3</v>
      </c>
      <c r="I3" s="177">
        <f>Datos_básicos!I12</f>
        <v>15.8</v>
      </c>
      <c r="J3" s="177">
        <f>Datos_básicos!J12</f>
        <v>16.8</v>
      </c>
      <c r="K3" s="177">
        <f>Datos_básicos!K12</f>
        <v>17.399999999999999</v>
      </c>
      <c r="L3" s="177">
        <f>Datos_básicos!L12</f>
        <v>18.5</v>
      </c>
      <c r="M3" s="177">
        <f>Datos_básicos!M12</f>
        <v>20</v>
      </c>
    </row>
    <row r="4" spans="1:13" ht="15.75">
      <c r="A4" s="178" t="s">
        <v>155</v>
      </c>
      <c r="B4" s="179">
        <f>Datos_básicos!B14</f>
        <v>14.7</v>
      </c>
      <c r="C4" s="179">
        <f>Datos_básicos!C14</f>
        <v>14.7</v>
      </c>
      <c r="D4" s="179">
        <f>Datos_básicos!D14</f>
        <v>13.8</v>
      </c>
      <c r="E4" s="179">
        <f>Datos_básicos!E14</f>
        <v>12.1</v>
      </c>
      <c r="F4" s="179">
        <f>Datos_básicos!F14</f>
        <v>11.3</v>
      </c>
      <c r="G4" s="179">
        <f>Datos_básicos!G14</f>
        <v>10.1</v>
      </c>
      <c r="H4" s="179">
        <f>Datos_básicos!H14</f>
        <v>9.4</v>
      </c>
      <c r="I4" s="179">
        <f>Datos_básicos!I14</f>
        <v>10</v>
      </c>
      <c r="J4" s="179">
        <f>Datos_básicos!J14</f>
        <v>10.6</v>
      </c>
      <c r="K4" s="179">
        <f>Datos_básicos!K14</f>
        <v>11.3</v>
      </c>
      <c r="L4" s="179">
        <f>Datos_básicos!L14</f>
        <v>12.2</v>
      </c>
      <c r="M4" s="179">
        <f>Datos_básicos!M14</f>
        <v>13.4</v>
      </c>
    </row>
    <row r="5" spans="1:13" ht="16.5" thickBot="1">
      <c r="A5" s="180" t="s">
        <v>154</v>
      </c>
      <c r="B5" s="181">
        <f t="shared" ref="B5:M5" si="0">(B3+B4)/2</f>
        <v>17.75</v>
      </c>
      <c r="C5" s="181">
        <f t="shared" si="0"/>
        <v>17.95</v>
      </c>
      <c r="D5" s="181">
        <f t="shared" si="0"/>
        <v>17</v>
      </c>
      <c r="E5" s="181">
        <f t="shared" si="0"/>
        <v>15.45</v>
      </c>
      <c r="F5" s="181">
        <f t="shared" si="0"/>
        <v>14.15</v>
      </c>
      <c r="G5" s="181">
        <f t="shared" si="0"/>
        <v>12.95</v>
      </c>
      <c r="H5" s="181">
        <f t="shared" si="0"/>
        <v>12.350000000000001</v>
      </c>
      <c r="I5" s="181">
        <f t="shared" si="0"/>
        <v>12.9</v>
      </c>
      <c r="J5" s="181">
        <f t="shared" si="0"/>
        <v>13.7</v>
      </c>
      <c r="K5" s="181">
        <f t="shared" si="0"/>
        <v>14.35</v>
      </c>
      <c r="L5" s="181">
        <f t="shared" si="0"/>
        <v>15.35</v>
      </c>
      <c r="M5" s="182">
        <f t="shared" si="0"/>
        <v>16.7</v>
      </c>
    </row>
    <row r="6" spans="1:13" ht="16.5" thickBot="1">
      <c r="A6" s="162"/>
      <c r="B6" s="162"/>
      <c r="C6" s="162"/>
      <c r="D6" s="162"/>
      <c r="E6" s="162"/>
      <c r="F6" s="162"/>
      <c r="G6" s="162"/>
      <c r="H6" s="162"/>
      <c r="I6" s="162"/>
      <c r="J6" s="162"/>
      <c r="K6" s="162"/>
      <c r="L6" s="162"/>
      <c r="M6" s="162"/>
    </row>
    <row r="7" spans="1:13" ht="16.5" thickBot="1">
      <c r="A7" s="183" t="s">
        <v>158</v>
      </c>
      <c r="B7" s="184">
        <f>Datos_básicos!B20</f>
        <v>0.4</v>
      </c>
      <c r="C7" s="184">
        <f>Datos_básicos!C20</f>
        <v>0</v>
      </c>
      <c r="D7" s="184">
        <f>Datos_básicos!D20</f>
        <v>3.7</v>
      </c>
      <c r="E7" s="184">
        <f>Datos_básicos!E20</f>
        <v>13.3</v>
      </c>
      <c r="F7" s="184">
        <f>Datos_básicos!F20</f>
        <v>54.5</v>
      </c>
      <c r="G7" s="184">
        <f>Datos_básicos!G20</f>
        <v>83.1</v>
      </c>
      <c r="H7" s="184">
        <f>Datos_básicos!H20</f>
        <v>111.2</v>
      </c>
      <c r="I7" s="184">
        <f>Datos_básicos!I20</f>
        <v>60</v>
      </c>
      <c r="J7" s="184">
        <f>Datos_básicos!J20</f>
        <v>26.7</v>
      </c>
      <c r="K7" s="184">
        <f>Datos_básicos!K20</f>
        <v>10.4</v>
      </c>
      <c r="L7" s="184">
        <f>Datos_básicos!L20</f>
        <v>7.9</v>
      </c>
      <c r="M7" s="184">
        <f>Datos_básicos!M20</f>
        <v>1.3</v>
      </c>
    </row>
    <row r="8" spans="1:13" ht="16.5" thickBot="1">
      <c r="A8" s="162"/>
      <c r="B8" s="162"/>
      <c r="C8" s="162"/>
      <c r="D8" s="162"/>
      <c r="E8" s="162"/>
      <c r="F8" s="162"/>
      <c r="G8" s="162"/>
      <c r="H8" s="162"/>
      <c r="I8" s="162"/>
      <c r="J8" s="162"/>
      <c r="K8" s="162"/>
      <c r="L8" s="162"/>
      <c r="M8" s="162"/>
    </row>
    <row r="9" spans="1:13" ht="15.75">
      <c r="A9" s="176" t="s">
        <v>159</v>
      </c>
      <c r="B9" s="185">
        <f>Datos_básicos!B17</f>
        <v>79.900000000000006</v>
      </c>
      <c r="C9" s="185">
        <f>Datos_básicos!C17</f>
        <v>80.099999999999994</v>
      </c>
      <c r="D9" s="185">
        <f>Datos_básicos!D17</f>
        <v>80.400000000000006</v>
      </c>
      <c r="E9" s="185">
        <f>Datos_básicos!E17</f>
        <v>81.3</v>
      </c>
      <c r="F9" s="185">
        <f>Datos_básicos!F17</f>
        <v>83.6</v>
      </c>
      <c r="G9" s="185">
        <f>Datos_básicos!G17</f>
        <v>82.5</v>
      </c>
      <c r="H9" s="185">
        <f>Datos_básicos!H17</f>
        <v>82.4</v>
      </c>
      <c r="I9" s="185">
        <f>Datos_básicos!I17</f>
        <v>81.7</v>
      </c>
      <c r="J9" s="185">
        <f>Datos_básicos!J17</f>
        <v>80.900000000000006</v>
      </c>
      <c r="K9" s="185">
        <f>Datos_básicos!K17</f>
        <v>79.5</v>
      </c>
      <c r="L9" s="185">
        <f>Datos_básicos!L17</f>
        <v>78.8</v>
      </c>
      <c r="M9" s="185">
        <f>Datos_básicos!M17</f>
        <v>80.3</v>
      </c>
    </row>
    <row r="10" spans="1:13" ht="16.5" thickBot="1">
      <c r="A10" s="180" t="s">
        <v>145</v>
      </c>
      <c r="B10" s="186">
        <f>Datos_básicos!B18</f>
        <v>64.2</v>
      </c>
      <c r="C10" s="186">
        <f>Datos_básicos!C18</f>
        <v>63.5</v>
      </c>
      <c r="D10" s="186">
        <f>Datos_básicos!D18</f>
        <v>64.3</v>
      </c>
      <c r="E10" s="186">
        <f>Datos_básicos!E18</f>
        <v>63.9</v>
      </c>
      <c r="F10" s="186">
        <f>Datos_básicos!F18</f>
        <v>68.2</v>
      </c>
      <c r="G10" s="186">
        <f>Datos_básicos!G18</f>
        <v>67.2</v>
      </c>
      <c r="H10" s="186">
        <f>Datos_básicos!H18</f>
        <v>66.3</v>
      </c>
      <c r="I10" s="186">
        <f>Datos_básicos!I18</f>
        <v>66.2</v>
      </c>
      <c r="J10" s="186">
        <f>Datos_básicos!J18</f>
        <v>64.2</v>
      </c>
      <c r="K10" s="186">
        <f>Datos_básicos!K18</f>
        <v>63.9</v>
      </c>
      <c r="L10" s="186">
        <f>Datos_básicos!L18</f>
        <v>63</v>
      </c>
      <c r="M10" s="186">
        <f>Datos_básicos!M18</f>
        <v>63.1</v>
      </c>
    </row>
    <row r="11" spans="1:13" ht="16.5" thickBot="1">
      <c r="A11" s="162"/>
      <c r="B11" s="162"/>
      <c r="C11" s="162"/>
      <c r="D11" s="162"/>
      <c r="E11" s="162"/>
      <c r="F11" s="162"/>
      <c r="G11" s="162"/>
      <c r="H11" s="162"/>
      <c r="I11" s="162"/>
      <c r="J11" s="162"/>
      <c r="K11" s="162"/>
      <c r="L11" s="162"/>
      <c r="M11" s="162"/>
    </row>
    <row r="12" spans="1:13" ht="16.5" thickBot="1">
      <c r="A12" s="183" t="s">
        <v>162</v>
      </c>
      <c r="B12" s="184">
        <f>Datos_básicos!B24</f>
        <v>3.5</v>
      </c>
      <c r="C12" s="184">
        <f>Datos_básicos!C24</f>
        <v>3.1</v>
      </c>
      <c r="D12" s="184">
        <f>Datos_básicos!D24</f>
        <v>2.7</v>
      </c>
      <c r="E12" s="184">
        <f>Datos_básicos!E24</f>
        <v>2.6</v>
      </c>
      <c r="F12" s="184">
        <f>Datos_básicos!F24</f>
        <v>2.5</v>
      </c>
      <c r="G12" s="184">
        <f>Datos_básicos!G24</f>
        <v>2.7</v>
      </c>
      <c r="H12" s="184">
        <f>Datos_básicos!H24</f>
        <v>2.8</v>
      </c>
      <c r="I12" s="184">
        <f>Datos_básicos!I24</f>
        <v>2.9</v>
      </c>
      <c r="J12" s="184">
        <f>Datos_básicos!J24</f>
        <v>3</v>
      </c>
      <c r="K12" s="184">
        <f>Datos_básicos!K24</f>
        <v>3.3</v>
      </c>
      <c r="L12" s="184">
        <f>Datos_básicos!L24</f>
        <v>3.7</v>
      </c>
      <c r="M12" s="184">
        <f>Datos_básicos!M24</f>
        <v>3.8</v>
      </c>
    </row>
    <row r="13" spans="1:13" ht="16.5" thickBot="1">
      <c r="A13" s="162"/>
      <c r="B13" s="162"/>
      <c r="C13" s="162"/>
      <c r="D13" s="162"/>
      <c r="E13" s="162"/>
      <c r="F13" s="162"/>
      <c r="G13" s="162"/>
      <c r="H13" s="162"/>
      <c r="I13" s="162"/>
      <c r="J13" s="162"/>
      <c r="K13" s="162"/>
      <c r="L13" s="162"/>
      <c r="M13" s="162"/>
    </row>
    <row r="14" spans="1:13" ht="16.5" thickBot="1">
      <c r="A14" s="183" t="s">
        <v>161</v>
      </c>
      <c r="B14" s="184">
        <f>Datos_básicos!B26</f>
        <v>9</v>
      </c>
      <c r="C14" s="184">
        <f>Datos_básicos!C26</f>
        <v>8.7750000000000004</v>
      </c>
      <c r="D14" s="184">
        <f>Datos_básicos!D26</f>
        <v>7</v>
      </c>
      <c r="E14" s="184">
        <f>Datos_básicos!E26</f>
        <v>5.8</v>
      </c>
      <c r="F14" s="184">
        <f>Datos_básicos!F26</f>
        <v>3.7</v>
      </c>
      <c r="G14" s="184">
        <f>Datos_básicos!G26</f>
        <v>2.7</v>
      </c>
      <c r="H14" s="184">
        <f>Datos_básicos!H26</f>
        <v>3</v>
      </c>
      <c r="I14" s="184">
        <f>Datos_básicos!I26</f>
        <v>3.8</v>
      </c>
      <c r="J14" s="184">
        <f>Datos_básicos!J26</f>
        <v>4.9000000000000004</v>
      </c>
      <c r="K14" s="184">
        <f>Datos_básicos!K26</f>
        <v>5.5</v>
      </c>
      <c r="L14" s="184">
        <f>Datos_básicos!L26</f>
        <v>7.2</v>
      </c>
      <c r="M14" s="184">
        <f>Datos_básicos!M26</f>
        <v>8.5</v>
      </c>
    </row>
    <row r="15" spans="1:13" ht="15.75">
      <c r="B15" s="163"/>
      <c r="C15" s="163"/>
      <c r="D15" s="163"/>
      <c r="E15" s="163"/>
      <c r="F15" s="163"/>
      <c r="G15" s="163"/>
      <c r="H15" s="163"/>
      <c r="I15" s="163"/>
      <c r="J15" s="163"/>
      <c r="K15" s="163"/>
      <c r="L15" s="163"/>
      <c r="M15" s="163"/>
    </row>
    <row r="16" spans="1:13" ht="15.75">
      <c r="A16" s="163"/>
      <c r="B16" s="163"/>
      <c r="C16" s="163"/>
      <c r="D16" s="163"/>
      <c r="E16" s="163"/>
      <c r="F16" s="163"/>
      <c r="G16" s="163"/>
      <c r="H16" s="163"/>
      <c r="I16" s="163"/>
      <c r="J16" s="163"/>
      <c r="K16" s="163"/>
      <c r="L16" s="163"/>
      <c r="M16" s="163"/>
    </row>
    <row r="17" spans="1:13" ht="16.5" thickBot="1">
      <c r="A17" s="163" t="s">
        <v>163</v>
      </c>
      <c r="B17" s="163"/>
      <c r="C17" s="163"/>
      <c r="D17" s="163"/>
      <c r="E17" s="163"/>
      <c r="F17" s="163"/>
      <c r="G17" s="163"/>
      <c r="H17" s="163"/>
      <c r="I17" s="163"/>
      <c r="J17" s="163"/>
      <c r="K17" s="163"/>
      <c r="L17" s="163"/>
      <c r="M17" s="163"/>
    </row>
    <row r="18" spans="1:13" ht="15.75">
      <c r="A18" s="164" t="s">
        <v>146</v>
      </c>
      <c r="B18" s="165">
        <f t="shared" ref="B18:M18" si="1">B3-((0.55-0.0055*B10)*(B3-14.5))</f>
        <v>19.559529999999999</v>
      </c>
      <c r="C18" s="165">
        <f t="shared" si="1"/>
        <v>19.854975</v>
      </c>
      <c r="D18" s="165">
        <f t="shared" si="1"/>
        <v>19.080804999999998</v>
      </c>
      <c r="E18" s="165">
        <f t="shared" si="1"/>
        <v>17.946235000000001</v>
      </c>
      <c r="F18" s="165">
        <f t="shared" si="1"/>
        <v>16.562750000000001</v>
      </c>
      <c r="G18" s="165">
        <f t="shared" si="1"/>
        <v>15.565480000000001</v>
      </c>
      <c r="H18" s="165">
        <f t="shared" si="1"/>
        <v>15.151720000000001</v>
      </c>
      <c r="I18" s="165">
        <f t="shared" si="1"/>
        <v>15.55833</v>
      </c>
      <c r="J18" s="165">
        <f t="shared" si="1"/>
        <v>16.34713</v>
      </c>
      <c r="K18" s="165">
        <f t="shared" si="1"/>
        <v>16.824204999999999</v>
      </c>
      <c r="L18" s="165">
        <f t="shared" si="1"/>
        <v>17.686</v>
      </c>
      <c r="M18" s="166">
        <f t="shared" si="1"/>
        <v>18.883775</v>
      </c>
    </row>
    <row r="19" spans="1:13" ht="15.75">
      <c r="A19" s="167" t="s">
        <v>147</v>
      </c>
      <c r="B19" s="168">
        <f t="shared" ref="B19:M19" si="2">B5-((0.55-0.0055*B9)*(B5-14.5))</f>
        <v>17.390712499999999</v>
      </c>
      <c r="C19" s="168">
        <f t="shared" si="2"/>
        <v>17.572397499999997</v>
      </c>
      <c r="D19" s="168">
        <f t="shared" si="2"/>
        <v>16.730499999999999</v>
      </c>
      <c r="E19" s="168">
        <f t="shared" si="2"/>
        <v>15.352292499999999</v>
      </c>
      <c r="F19" s="168">
        <f t="shared" si="2"/>
        <v>14.181570000000001</v>
      </c>
      <c r="G19" s="168">
        <f t="shared" si="2"/>
        <v>13.099187499999999</v>
      </c>
      <c r="H19" s="168">
        <f t="shared" si="2"/>
        <v>12.558120000000001</v>
      </c>
      <c r="I19" s="168">
        <f t="shared" si="2"/>
        <v>13.06104</v>
      </c>
      <c r="J19" s="168">
        <f t="shared" si="2"/>
        <v>13.784039999999999</v>
      </c>
      <c r="K19" s="168">
        <f t="shared" si="2"/>
        <v>14.3669125</v>
      </c>
      <c r="L19" s="168">
        <f t="shared" si="2"/>
        <v>15.25089</v>
      </c>
      <c r="M19" s="169">
        <f t="shared" si="2"/>
        <v>16.46163</v>
      </c>
    </row>
    <row r="20" spans="1:13" ht="15.75">
      <c r="A20" s="167" t="s">
        <v>148</v>
      </c>
      <c r="B20" s="170">
        <f t="shared" ref="B20:M20" si="3">IF(B7&lt;0.1,5,IF(B7&lt;5,2,IF(B7&lt;10,0,IF(B7&lt;15,-1,IF(B7&lt;20,-2,IF(B7&gt;20,-3,0))))))</f>
        <v>2</v>
      </c>
      <c r="C20" s="170">
        <f t="shared" si="3"/>
        <v>5</v>
      </c>
      <c r="D20" s="170">
        <f t="shared" si="3"/>
        <v>2</v>
      </c>
      <c r="E20" s="170">
        <f t="shared" si="3"/>
        <v>-1</v>
      </c>
      <c r="F20" s="170">
        <f t="shared" si="3"/>
        <v>-3</v>
      </c>
      <c r="G20" s="170">
        <f t="shared" si="3"/>
        <v>-3</v>
      </c>
      <c r="H20" s="170">
        <f t="shared" si="3"/>
        <v>-3</v>
      </c>
      <c r="I20" s="170">
        <f t="shared" si="3"/>
        <v>-3</v>
      </c>
      <c r="J20" s="170">
        <f t="shared" si="3"/>
        <v>-3</v>
      </c>
      <c r="K20" s="170">
        <f t="shared" si="3"/>
        <v>-1</v>
      </c>
      <c r="L20" s="170">
        <f t="shared" si="3"/>
        <v>0</v>
      </c>
      <c r="M20" s="171">
        <f t="shared" si="3"/>
        <v>2</v>
      </c>
    </row>
    <row r="21" spans="1:13" ht="15.75">
      <c r="A21" s="167" t="s">
        <v>149</v>
      </c>
      <c r="B21" s="170">
        <f t="shared" ref="B21:M21" si="4">IF(B12&lt;2.88,5,IF(B12&lt;5.75,4,IF(B12&lt;9.03,3,IF(B12&lt;12.23,2,IF(B12&lt;19.79,1,IF(B12&lt;24.29,-1,IF(B12&gt;24.29,-2)))))))</f>
        <v>4</v>
      </c>
      <c r="C21" s="170">
        <f t="shared" si="4"/>
        <v>4</v>
      </c>
      <c r="D21" s="170">
        <f t="shared" si="4"/>
        <v>5</v>
      </c>
      <c r="E21" s="170">
        <f t="shared" si="4"/>
        <v>5</v>
      </c>
      <c r="F21" s="170">
        <f t="shared" si="4"/>
        <v>5</v>
      </c>
      <c r="G21" s="170">
        <f t="shared" si="4"/>
        <v>5</v>
      </c>
      <c r="H21" s="170">
        <f t="shared" si="4"/>
        <v>5</v>
      </c>
      <c r="I21" s="170">
        <f t="shared" si="4"/>
        <v>4</v>
      </c>
      <c r="J21" s="170">
        <f t="shared" si="4"/>
        <v>4</v>
      </c>
      <c r="K21" s="170">
        <f t="shared" si="4"/>
        <v>4</v>
      </c>
      <c r="L21" s="170">
        <f t="shared" si="4"/>
        <v>4</v>
      </c>
      <c r="M21" s="171">
        <f t="shared" si="4"/>
        <v>4</v>
      </c>
    </row>
    <row r="22" spans="1:13" ht="15.75">
      <c r="A22" s="167" t="s">
        <v>150</v>
      </c>
      <c r="B22" s="170">
        <f t="shared" ref="B22:M22" si="5">IF(B14&gt;10,5,IF(B14&gt;9,4.5,IF(B14&gt;8,4,IF(B14&gt;7,3.5,IF(B14&gt;6,3,IF(B14&gt;5,2.5,IF(B14&gt;4,2,0)))))))</f>
        <v>4</v>
      </c>
      <c r="C22" s="170">
        <f t="shared" si="5"/>
        <v>4</v>
      </c>
      <c r="D22" s="170">
        <f t="shared" si="5"/>
        <v>3</v>
      </c>
      <c r="E22" s="170">
        <f t="shared" si="5"/>
        <v>2.5</v>
      </c>
      <c r="F22" s="170">
        <f t="shared" si="5"/>
        <v>0</v>
      </c>
      <c r="G22" s="170">
        <f t="shared" si="5"/>
        <v>0</v>
      </c>
      <c r="H22" s="170">
        <f t="shared" si="5"/>
        <v>0</v>
      </c>
      <c r="I22" s="170">
        <f t="shared" si="5"/>
        <v>0</v>
      </c>
      <c r="J22" s="170">
        <f t="shared" si="5"/>
        <v>2</v>
      </c>
      <c r="K22" s="170">
        <f t="shared" si="5"/>
        <v>2.5</v>
      </c>
      <c r="L22" s="170">
        <f t="shared" si="5"/>
        <v>3.5</v>
      </c>
      <c r="M22" s="171">
        <f t="shared" si="5"/>
        <v>4</v>
      </c>
    </row>
    <row r="23" spans="1:13" ht="15.75">
      <c r="A23" s="167" t="s">
        <v>151</v>
      </c>
      <c r="B23" s="170">
        <f t="shared" ref="B23:M23" si="6">IF(B18&lt;0,-1,IF(B18&lt;5,0,IF(B18&lt;10,1,IF(B18&lt;15,2,IF(B18&lt;18,3,IF(B18&lt;20,4,IF(B18&lt;27,5,IF(B18&lt;30,3,0))))))))</f>
        <v>4</v>
      </c>
      <c r="C23" s="170">
        <f t="shared" si="6"/>
        <v>4</v>
      </c>
      <c r="D23" s="170">
        <f t="shared" si="6"/>
        <v>4</v>
      </c>
      <c r="E23" s="170">
        <f t="shared" si="6"/>
        <v>3</v>
      </c>
      <c r="F23" s="170">
        <f t="shared" si="6"/>
        <v>3</v>
      </c>
      <c r="G23" s="170">
        <f t="shared" si="6"/>
        <v>3</v>
      </c>
      <c r="H23" s="170">
        <f t="shared" si="6"/>
        <v>3</v>
      </c>
      <c r="I23" s="170">
        <f t="shared" si="6"/>
        <v>3</v>
      </c>
      <c r="J23" s="170">
        <f t="shared" si="6"/>
        <v>3</v>
      </c>
      <c r="K23" s="170">
        <f t="shared" si="6"/>
        <v>3</v>
      </c>
      <c r="L23" s="170">
        <f t="shared" si="6"/>
        <v>3</v>
      </c>
      <c r="M23" s="171">
        <f t="shared" si="6"/>
        <v>4</v>
      </c>
    </row>
    <row r="24" spans="1:13" ht="16.5" thickBot="1">
      <c r="A24" s="172" t="s">
        <v>152</v>
      </c>
      <c r="B24" s="173">
        <f t="shared" ref="B24:M24" si="7">IF(B19&lt;0,-1,IF(B19&lt;5,1.5,IF(B19&lt;10,2,IF(B19&lt;15,2.5,IF(B19&lt;18,3,IF(B19&lt;20,4,IF(B19&lt;27,5,IF(B19&lt;30,4,0))))))))</f>
        <v>3</v>
      </c>
      <c r="C24" s="173">
        <f t="shared" si="7"/>
        <v>3</v>
      </c>
      <c r="D24" s="173">
        <f t="shared" si="7"/>
        <v>3</v>
      </c>
      <c r="E24" s="173">
        <f t="shared" si="7"/>
        <v>3</v>
      </c>
      <c r="F24" s="173">
        <f t="shared" si="7"/>
        <v>2.5</v>
      </c>
      <c r="G24" s="173">
        <f t="shared" si="7"/>
        <v>2.5</v>
      </c>
      <c r="H24" s="173">
        <f t="shared" si="7"/>
        <v>2.5</v>
      </c>
      <c r="I24" s="173">
        <f t="shared" si="7"/>
        <v>2.5</v>
      </c>
      <c r="J24" s="173">
        <f t="shared" si="7"/>
        <v>2.5</v>
      </c>
      <c r="K24" s="173">
        <f t="shared" si="7"/>
        <v>2.5</v>
      </c>
      <c r="L24" s="173">
        <f t="shared" si="7"/>
        <v>3</v>
      </c>
      <c r="M24" s="174">
        <f t="shared" si="7"/>
        <v>3</v>
      </c>
    </row>
    <row r="27" spans="1:13" ht="16.5" thickBot="1">
      <c r="B27" s="175" t="s">
        <v>26</v>
      </c>
      <c r="C27" s="175" t="s">
        <v>27</v>
      </c>
      <c r="D27" s="175" t="s">
        <v>28</v>
      </c>
      <c r="E27" s="175" t="s">
        <v>29</v>
      </c>
      <c r="F27" s="175" t="s">
        <v>30</v>
      </c>
      <c r="G27" s="175" t="s">
        <v>31</v>
      </c>
      <c r="H27" s="175" t="s">
        <v>32</v>
      </c>
      <c r="I27" s="175" t="s">
        <v>33</v>
      </c>
      <c r="J27" s="175" t="s">
        <v>34</v>
      </c>
      <c r="K27" s="175" t="s">
        <v>23</v>
      </c>
      <c r="L27" s="175" t="s">
        <v>24</v>
      </c>
      <c r="M27" s="175" t="s">
        <v>25</v>
      </c>
    </row>
    <row r="28" spans="1:13" s="323" customFormat="1" ht="20.25" customHeight="1" thickBot="1">
      <c r="A28" s="322" t="s">
        <v>316</v>
      </c>
      <c r="B28" s="327">
        <f t="shared" ref="B28:M28" si="8">(8*B23+2*B24+4*B20+4*B22+2*B21)</f>
        <v>70</v>
      </c>
      <c r="C28" s="328">
        <f t="shared" si="8"/>
        <v>82</v>
      </c>
      <c r="D28" s="328">
        <f t="shared" si="8"/>
        <v>68</v>
      </c>
      <c r="E28" s="328">
        <f t="shared" si="8"/>
        <v>46</v>
      </c>
      <c r="F28" s="328">
        <f t="shared" si="8"/>
        <v>27</v>
      </c>
      <c r="G28" s="328">
        <f t="shared" si="8"/>
        <v>27</v>
      </c>
      <c r="H28" s="328">
        <f t="shared" si="8"/>
        <v>27</v>
      </c>
      <c r="I28" s="328">
        <f t="shared" si="8"/>
        <v>25</v>
      </c>
      <c r="J28" s="328">
        <f t="shared" si="8"/>
        <v>33</v>
      </c>
      <c r="K28" s="328">
        <f t="shared" si="8"/>
        <v>43</v>
      </c>
      <c r="L28" s="328">
        <f t="shared" si="8"/>
        <v>52</v>
      </c>
      <c r="M28" s="329">
        <f t="shared" si="8"/>
        <v>70</v>
      </c>
    </row>
    <row r="29" spans="1:13" s="323" customFormat="1" ht="20.25" customHeight="1" thickBot="1">
      <c r="A29" s="322"/>
      <c r="B29" s="396" t="str">
        <f>IF(B28&lt;10,"Imposible",IF(B28&lt;19,"Extremadamente desfavorable",IF(B28&lt;29,"Muy desfavorable",IF(B28&lt;39,"Desfavorable",IF(B28&lt;49,"Marginal",IF(B28&lt;59,"Aceptable",IF(B28&lt;69,"Buena",IF(B28&lt;79,"Muy buena",IF(B28&lt;89,"Excelente",IF(B28&gt;90,"Ideal"))))))))))</f>
        <v>Muy buena</v>
      </c>
      <c r="C29" s="396" t="str">
        <f t="shared" ref="C29:M29" si="9">IF(C28&lt;10,"Imposible",IF(C28&lt;19,"Extremadamente desfavorable",IF(C28&lt;29,"Muy desfavorable",IF(C28&lt;39,"Desfavorable",IF(C28&lt;49,"Marginal",IF(C28&lt;59,"Aceptable",IF(C28&lt;69,"Buena",IF(C28&lt;79,"Muy buena",IF(C28&lt;89,"Excelente",IF(C28&gt;90,"Ideal"))))))))))</f>
        <v>Excelente</v>
      </c>
      <c r="D29" s="396" t="str">
        <f t="shared" si="9"/>
        <v>Buena</v>
      </c>
      <c r="E29" s="396" t="str">
        <f t="shared" si="9"/>
        <v>Marginal</v>
      </c>
      <c r="F29" s="396" t="str">
        <f t="shared" si="9"/>
        <v>Muy desfavorable</v>
      </c>
      <c r="G29" s="396" t="str">
        <f t="shared" si="9"/>
        <v>Muy desfavorable</v>
      </c>
      <c r="H29" s="396" t="str">
        <f t="shared" si="9"/>
        <v>Muy desfavorable</v>
      </c>
      <c r="I29" s="396" t="str">
        <f t="shared" si="9"/>
        <v>Muy desfavorable</v>
      </c>
      <c r="J29" s="396" t="str">
        <f t="shared" si="9"/>
        <v>Desfavorable</v>
      </c>
      <c r="K29" s="396" t="str">
        <f t="shared" si="9"/>
        <v>Marginal</v>
      </c>
      <c r="L29" s="396" t="str">
        <f t="shared" si="9"/>
        <v>Aceptable</v>
      </c>
      <c r="M29" s="396" t="str">
        <f t="shared" si="9"/>
        <v>Muy buena</v>
      </c>
    </row>
    <row r="30" spans="1:13" s="323" customFormat="1" ht="20.25" customHeight="1" thickBot="1">
      <c r="A30" s="395" t="s">
        <v>315</v>
      </c>
      <c r="B30" s="324">
        <f>Datos_básicos!B36</f>
        <v>17.5</v>
      </c>
      <c r="C30" s="325">
        <f>Datos_básicos!C36</f>
        <v>17.899999999999999</v>
      </c>
      <c r="D30" s="325">
        <f>Datos_básicos!D36</f>
        <v>17.3</v>
      </c>
      <c r="E30" s="325">
        <f>Datos_básicos!E36</f>
        <v>15.5</v>
      </c>
      <c r="F30" s="325">
        <f>Datos_básicos!F36</f>
        <v>14.3</v>
      </c>
      <c r="G30" s="325">
        <f>Datos_básicos!G36</f>
        <v>13.9</v>
      </c>
      <c r="H30" s="325">
        <f>Datos_básicos!H36</f>
        <v>13.1</v>
      </c>
      <c r="I30" s="325">
        <f>Datos_básicos!I36</f>
        <v>13.2</v>
      </c>
      <c r="J30" s="325">
        <f>Datos_básicos!J36</f>
        <v>13.2</v>
      </c>
      <c r="K30" s="325">
        <f>Datos_básicos!K36</f>
        <v>13.7</v>
      </c>
      <c r="L30" s="325">
        <f>Datos_básicos!L36</f>
        <v>14.6</v>
      </c>
      <c r="M30" s="326">
        <f>Datos_básicos!M36</f>
        <v>16.399999999999999</v>
      </c>
    </row>
    <row r="31" spans="1:13" ht="13.5" thickBot="1">
      <c r="B31" s="396" t="str">
        <f>IF(B30&lt;10,"Fría",IF(B30&lt;15,"Fresca",IF(B30&lt;21,"Templada",IF(B30&lt;26,"Cálida",IF(B30&lt;32,"Caliente",IF(B30&gt;32,"Muy caliente"))))))</f>
        <v>Templada</v>
      </c>
      <c r="C31" s="396" t="str">
        <f t="shared" ref="C31:M31" si="10">IF(C30&lt;10,"Fría",IF(C30&lt;15,"Fresca",IF(C30&lt;21,"Templada",IF(C30&lt;26,"Cálida",IF(C30&lt;32,"Caliente",IF(C30&gt;32,"Muy caliente"))))))</f>
        <v>Templada</v>
      </c>
      <c r="D31" s="396" t="str">
        <f t="shared" si="10"/>
        <v>Templada</v>
      </c>
      <c r="E31" s="396" t="str">
        <f t="shared" si="10"/>
        <v>Templada</v>
      </c>
      <c r="F31" s="396" t="str">
        <f t="shared" si="10"/>
        <v>Fresca</v>
      </c>
      <c r="G31" s="396" t="str">
        <f t="shared" si="10"/>
        <v>Fresca</v>
      </c>
      <c r="H31" s="396" t="str">
        <f t="shared" si="10"/>
        <v>Fresca</v>
      </c>
      <c r="I31" s="396" t="str">
        <f t="shared" si="10"/>
        <v>Fresca</v>
      </c>
      <c r="J31" s="396" t="str">
        <f t="shared" si="10"/>
        <v>Fresca</v>
      </c>
      <c r="K31" s="396" t="str">
        <f t="shared" si="10"/>
        <v>Fresca</v>
      </c>
      <c r="L31" s="396" t="str">
        <f t="shared" si="10"/>
        <v>Fresca</v>
      </c>
      <c r="M31" s="396" t="str">
        <f t="shared" si="10"/>
        <v>Templada</v>
      </c>
    </row>
  </sheetData>
  <conditionalFormatting sqref="A29:M29 A28">
    <cfRule type="colorScale" priority="12">
      <colorScale>
        <cfvo type="min"/>
        <cfvo type="percentile" val="50"/>
        <cfvo type="max"/>
        <color rgb="FF92D050"/>
        <color rgb="FFFFEB84"/>
        <color rgb="FFFF0000"/>
      </colorScale>
    </cfRule>
    <cfRule type="iconSet" priority="13">
      <iconSet iconSet="4ArrowsGray">
        <cfvo type="percent" val="0"/>
        <cfvo type="percent" val="25"/>
        <cfvo type="percent" val="50"/>
        <cfvo type="percent" val="75"/>
      </iconSet>
    </cfRule>
    <cfRule type="colorScale" priority="14">
      <colorScale>
        <cfvo type="min"/>
        <cfvo type="max"/>
        <color rgb="FFFF0000"/>
        <color rgb="FFFFEF9C"/>
      </colorScale>
    </cfRule>
  </conditionalFormatting>
  <conditionalFormatting sqref="B29:M29">
    <cfRule type="colorScale" priority="7">
      <colorScale>
        <cfvo type="num" val="0"/>
        <cfvo type="num" val="50"/>
        <cfvo type="num" val="100"/>
        <color rgb="FF63BE7B"/>
        <color rgb="FFFFEB84"/>
        <color rgb="FFF8696B"/>
      </colorScale>
    </cfRule>
    <cfRule type="colorScale" priority="11">
      <colorScale>
        <cfvo type="num" val="0"/>
        <cfvo type="num" val="100"/>
        <color theme="4"/>
        <color rgb="FFC00000"/>
      </colorScale>
    </cfRule>
  </conditionalFormatting>
  <conditionalFormatting sqref="B30:M30">
    <cfRule type="colorScale" priority="9">
      <colorScale>
        <cfvo type="num" val="0"/>
        <cfvo type="num" val="15"/>
        <cfvo type="num" val="30"/>
        <color rgb="FF00B050"/>
        <color rgb="FFFFFF00"/>
        <color rgb="FFFF0000"/>
      </colorScale>
    </cfRule>
    <cfRule type="colorScale" priority="1">
      <colorScale>
        <cfvo type="num" val="0"/>
        <cfvo type="num" val="15"/>
        <cfvo type="num" val="30"/>
        <color rgb="FF002060"/>
        <color rgb="FFFFEB84"/>
        <color rgb="FFC00000"/>
      </colorScale>
    </cfRule>
  </conditionalFormatting>
  <conditionalFormatting sqref="B28:M28">
    <cfRule type="colorScale" priority="8">
      <colorScale>
        <cfvo type="num" val="0"/>
        <cfvo type="percentile" val="50"/>
        <cfvo type="num" val="100"/>
        <color rgb="FF002060"/>
        <color rgb="FF92D050"/>
        <color rgb="FFC00000"/>
      </colorScale>
    </cfRule>
  </conditionalFormatting>
  <conditionalFormatting sqref="B31:M31">
    <cfRule type="colorScale" priority="4">
      <colorScale>
        <cfvo type="min"/>
        <cfvo type="percentile" val="50"/>
        <cfvo type="max"/>
        <color rgb="FF92D050"/>
        <color rgb="FFFFEB84"/>
        <color rgb="FFFF0000"/>
      </colorScale>
    </cfRule>
    <cfRule type="iconSet" priority="5">
      <iconSet iconSet="4ArrowsGray">
        <cfvo type="percent" val="0"/>
        <cfvo type="percent" val="25"/>
        <cfvo type="percent" val="50"/>
        <cfvo type="percent" val="75"/>
      </iconSet>
    </cfRule>
    <cfRule type="colorScale" priority="6">
      <colorScale>
        <cfvo type="min"/>
        <cfvo type="max"/>
        <color rgb="FFFF0000"/>
        <color rgb="FFFFEF9C"/>
      </colorScale>
    </cfRule>
  </conditionalFormatting>
  <conditionalFormatting sqref="B31:M31">
    <cfRule type="colorScale" priority="2">
      <colorScale>
        <cfvo type="num" val="0"/>
        <cfvo type="num" val="50"/>
        <cfvo type="num" val="100"/>
        <color rgb="FF63BE7B"/>
        <color rgb="FFFFEB84"/>
        <color rgb="FFF8696B"/>
      </colorScale>
    </cfRule>
    <cfRule type="colorScale" priority="3">
      <colorScale>
        <cfvo type="num" val="0"/>
        <cfvo type="num" val="100"/>
        <color theme="4"/>
        <color rgb="FFC00000"/>
      </colorScale>
    </cfRule>
  </conditionalFormatting>
  <pageMargins left="0.7" right="0.7" top="0.75" bottom="0.75" header="0.3" footer="0.3"/>
  <pageSetup paperSize="9" orientation="portrait" horizontalDpi="30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5"/>
  <sheetViews>
    <sheetView tabSelected="1" workbookViewId="0">
      <selection activeCell="O1" sqref="O1"/>
    </sheetView>
  </sheetViews>
  <sheetFormatPr baseColWidth="10" defaultRowHeight="12.75"/>
  <cols>
    <col min="2" max="2" width="39.140625" customWidth="1"/>
    <col min="3" max="14" width="7.28515625" customWidth="1"/>
    <col min="15" max="15" width="5.85546875" customWidth="1"/>
  </cols>
  <sheetData>
    <row r="1" spans="1:15">
      <c r="A1" t="s">
        <v>292</v>
      </c>
      <c r="B1" t="s">
        <v>293</v>
      </c>
      <c r="C1" t="s">
        <v>295</v>
      </c>
      <c r="D1" t="s">
        <v>296</v>
      </c>
      <c r="E1" t="s">
        <v>297</v>
      </c>
      <c r="G1" t="s">
        <v>298</v>
      </c>
      <c r="H1" t="s">
        <v>299</v>
      </c>
      <c r="O1" t="s">
        <v>294</v>
      </c>
    </row>
    <row r="2" spans="1:15">
      <c r="A2">
        <v>31600</v>
      </c>
      <c r="B2" t="s">
        <v>273</v>
      </c>
      <c r="C2" t="s">
        <v>275</v>
      </c>
      <c r="D2">
        <v>55.95</v>
      </c>
      <c r="E2">
        <v>-3.3730000000000002</v>
      </c>
      <c r="G2">
        <v>55</v>
      </c>
      <c r="H2" s="364">
        <v>57</v>
      </c>
      <c r="I2" s="363"/>
      <c r="J2" s="363"/>
      <c r="O2" t="s">
        <v>274</v>
      </c>
    </row>
    <row r="3" spans="1:15">
      <c r="A3">
        <v>37720</v>
      </c>
      <c r="B3" t="s">
        <v>302</v>
      </c>
      <c r="C3" t="s">
        <v>276</v>
      </c>
      <c r="D3">
        <v>51.478000000000002</v>
      </c>
      <c r="E3">
        <v>-0.46100000000000002</v>
      </c>
      <c r="G3">
        <v>51</v>
      </c>
      <c r="H3" s="364">
        <v>28.68</v>
      </c>
      <c r="I3" s="363"/>
      <c r="O3" t="s">
        <v>274</v>
      </c>
    </row>
    <row r="4" spans="1:15">
      <c r="A4">
        <v>75860</v>
      </c>
      <c r="B4" t="s">
        <v>301</v>
      </c>
      <c r="D4" s="366">
        <v>44.082999999999998</v>
      </c>
      <c r="E4" s="366">
        <v>5.05</v>
      </c>
      <c r="G4">
        <v>44</v>
      </c>
      <c r="H4" s="364">
        <v>5</v>
      </c>
      <c r="O4" t="s">
        <v>300</v>
      </c>
    </row>
    <row r="5" spans="1:15">
      <c r="A5">
        <v>162420</v>
      </c>
      <c r="B5" t="s">
        <v>303</v>
      </c>
      <c r="C5" t="s">
        <v>278</v>
      </c>
      <c r="D5">
        <v>41.804000000000002</v>
      </c>
      <c r="E5">
        <v>12.250999999999999</v>
      </c>
      <c r="G5">
        <v>41</v>
      </c>
      <c r="H5" s="364">
        <v>48.239999999999995</v>
      </c>
      <c r="I5" s="363"/>
      <c r="J5" s="363"/>
      <c r="O5" t="s">
        <v>277</v>
      </c>
    </row>
    <row r="6" spans="1:15">
      <c r="A6">
        <v>430030</v>
      </c>
      <c r="B6" t="s">
        <v>304</v>
      </c>
      <c r="C6" t="s">
        <v>280</v>
      </c>
      <c r="D6">
        <v>19.088999999999999</v>
      </c>
      <c r="E6">
        <v>72.867999999999995</v>
      </c>
      <c r="G6">
        <v>19</v>
      </c>
      <c r="H6" s="364">
        <v>5.34</v>
      </c>
      <c r="I6" s="363"/>
      <c r="J6" s="363"/>
      <c r="O6" t="s">
        <v>279</v>
      </c>
    </row>
    <row r="7" spans="1:15">
      <c r="A7">
        <v>637400</v>
      </c>
      <c r="B7" t="s">
        <v>281</v>
      </c>
      <c r="C7" t="s">
        <v>283</v>
      </c>
      <c r="D7">
        <v>-1.319</v>
      </c>
      <c r="E7">
        <v>36.927999999999997</v>
      </c>
      <c r="G7">
        <v>-1</v>
      </c>
      <c r="H7" s="364">
        <v>19.14</v>
      </c>
      <c r="I7" s="363"/>
      <c r="J7" s="363"/>
      <c r="O7" t="s">
        <v>282</v>
      </c>
    </row>
    <row r="8" spans="1:15">
      <c r="A8">
        <v>723560</v>
      </c>
      <c r="B8" t="s">
        <v>284</v>
      </c>
      <c r="C8" t="s">
        <v>286</v>
      </c>
      <c r="D8">
        <v>36.198999999999998</v>
      </c>
      <c r="E8">
        <v>-95.887</v>
      </c>
      <c r="G8">
        <v>36</v>
      </c>
      <c r="H8" s="364">
        <v>11.940000000000001</v>
      </c>
      <c r="I8" s="363"/>
      <c r="J8" s="363"/>
      <c r="O8" t="s">
        <v>285</v>
      </c>
    </row>
    <row r="9" spans="1:15">
      <c r="A9">
        <v>744860</v>
      </c>
      <c r="B9" t="s">
        <v>287</v>
      </c>
      <c r="C9" s="363" t="s">
        <v>288</v>
      </c>
      <c r="D9">
        <v>40.639000000000003</v>
      </c>
      <c r="E9">
        <v>-73.762</v>
      </c>
      <c r="G9">
        <v>40</v>
      </c>
      <c r="H9" s="364">
        <v>38.339999999999996</v>
      </c>
      <c r="I9" s="363"/>
      <c r="J9" s="363"/>
      <c r="O9" t="s">
        <v>285</v>
      </c>
    </row>
    <row r="10" spans="1:15">
      <c r="A10">
        <v>788970</v>
      </c>
      <c r="B10" t="s">
        <v>289</v>
      </c>
      <c r="C10" s="363" t="s">
        <v>291</v>
      </c>
      <c r="D10">
        <v>16.265000000000001</v>
      </c>
      <c r="E10">
        <v>-61.531999999999996</v>
      </c>
      <c r="G10">
        <v>16</v>
      </c>
      <c r="H10" s="364">
        <v>15.9</v>
      </c>
      <c r="I10" s="363"/>
      <c r="J10" s="363"/>
      <c r="O10" t="s">
        <v>290</v>
      </c>
    </row>
    <row r="11" spans="1:15">
      <c r="A11">
        <v>855580</v>
      </c>
      <c r="B11" t="s">
        <v>306</v>
      </c>
      <c r="D11" s="366">
        <v>-33.033000000000001</v>
      </c>
      <c r="E11" s="366">
        <v>-71.632999999999996</v>
      </c>
      <c r="G11">
        <v>-33</v>
      </c>
      <c r="H11" s="364">
        <v>36</v>
      </c>
    </row>
    <row r="13" spans="1:15">
      <c r="C13" s="363"/>
      <c r="O13" s="363"/>
    </row>
    <row r="14" spans="1:15">
      <c r="B14" t="s">
        <v>314</v>
      </c>
      <c r="C14" t="s">
        <v>26</v>
      </c>
      <c r="D14" t="s">
        <v>27</v>
      </c>
      <c r="E14" t="s">
        <v>28</v>
      </c>
      <c r="F14" t="s">
        <v>29</v>
      </c>
      <c r="G14" t="s">
        <v>30</v>
      </c>
      <c r="H14" t="s">
        <v>31</v>
      </c>
      <c r="I14" t="s">
        <v>32</v>
      </c>
      <c r="J14" t="s">
        <v>33</v>
      </c>
      <c r="K14" t="s">
        <v>34</v>
      </c>
      <c r="L14" t="s">
        <v>23</v>
      </c>
      <c r="M14" t="s">
        <v>24</v>
      </c>
      <c r="N14" t="s">
        <v>25</v>
      </c>
    </row>
    <row r="15" spans="1:15">
      <c r="A15">
        <v>31600</v>
      </c>
      <c r="B15" t="s">
        <v>252</v>
      </c>
      <c r="C15">
        <v>14.2</v>
      </c>
      <c r="D15">
        <v>16</v>
      </c>
      <c r="E15">
        <v>21</v>
      </c>
      <c r="F15">
        <v>22</v>
      </c>
      <c r="G15">
        <v>29</v>
      </c>
      <c r="H15">
        <v>29.1</v>
      </c>
      <c r="I15">
        <v>30</v>
      </c>
      <c r="J15">
        <v>30.6</v>
      </c>
      <c r="K15">
        <v>26.2</v>
      </c>
      <c r="L15">
        <v>21.5</v>
      </c>
      <c r="M15">
        <v>17</v>
      </c>
      <c r="N15">
        <v>15</v>
      </c>
      <c r="O15">
        <v>1</v>
      </c>
    </row>
    <row r="16" spans="1:15">
      <c r="A16">
        <v>31600</v>
      </c>
      <c r="B16" t="s">
        <v>253</v>
      </c>
      <c r="C16">
        <v>6.7</v>
      </c>
      <c r="D16">
        <v>7.3</v>
      </c>
      <c r="E16">
        <v>9.1999999999999993</v>
      </c>
      <c r="F16">
        <v>11.5</v>
      </c>
      <c r="G16">
        <v>14.4</v>
      </c>
      <c r="H16">
        <v>17</v>
      </c>
      <c r="I16">
        <v>19.2</v>
      </c>
      <c r="J16">
        <v>18.899999999999999</v>
      </c>
      <c r="K16">
        <v>16.5</v>
      </c>
      <c r="L16">
        <v>13</v>
      </c>
      <c r="M16">
        <v>9.4</v>
      </c>
      <c r="N16">
        <v>6.9</v>
      </c>
      <c r="O16">
        <v>2</v>
      </c>
    </row>
    <row r="17" spans="1:15">
      <c r="A17">
        <v>31600</v>
      </c>
      <c r="B17" t="s">
        <v>254</v>
      </c>
      <c r="C17">
        <v>4</v>
      </c>
      <c r="D17">
        <v>4.2</v>
      </c>
      <c r="E17">
        <v>5.7</v>
      </c>
      <c r="F17">
        <v>7.5</v>
      </c>
      <c r="G17">
        <v>10.199999999999999</v>
      </c>
      <c r="H17">
        <v>13</v>
      </c>
      <c r="I17">
        <v>14.9</v>
      </c>
      <c r="J17">
        <v>14.7</v>
      </c>
      <c r="K17">
        <v>12.6</v>
      </c>
      <c r="L17">
        <v>9.5</v>
      </c>
      <c r="M17">
        <v>6.3</v>
      </c>
      <c r="N17">
        <v>4.2</v>
      </c>
      <c r="O17">
        <v>3</v>
      </c>
    </row>
    <row r="18" spans="1:15">
      <c r="A18">
        <v>31600</v>
      </c>
      <c r="B18" t="s">
        <v>255</v>
      </c>
      <c r="C18">
        <v>0.8</v>
      </c>
      <c r="D18">
        <v>0.8</v>
      </c>
      <c r="E18">
        <v>1.8</v>
      </c>
      <c r="F18">
        <v>3.3</v>
      </c>
      <c r="G18">
        <v>5.9</v>
      </c>
      <c r="H18">
        <v>8.8000000000000007</v>
      </c>
      <c r="I18">
        <v>10.5</v>
      </c>
      <c r="J18">
        <v>10.3</v>
      </c>
      <c r="K18">
        <v>8.4</v>
      </c>
      <c r="L18">
        <v>5.6</v>
      </c>
      <c r="M18">
        <v>2.8</v>
      </c>
      <c r="N18">
        <v>0.8</v>
      </c>
      <c r="O18">
        <v>4</v>
      </c>
    </row>
    <row r="19" spans="1:15">
      <c r="A19">
        <v>31600</v>
      </c>
      <c r="B19" t="s">
        <v>256</v>
      </c>
      <c r="C19">
        <v>-18</v>
      </c>
      <c r="D19">
        <v>-11.1</v>
      </c>
      <c r="E19">
        <v>-10</v>
      </c>
      <c r="F19">
        <v>-5</v>
      </c>
      <c r="G19">
        <v>-3</v>
      </c>
      <c r="H19">
        <v>0</v>
      </c>
      <c r="I19">
        <v>-1.1000000000000001</v>
      </c>
      <c r="J19">
        <v>-0.4</v>
      </c>
      <c r="K19">
        <v>-1.5</v>
      </c>
      <c r="L19">
        <v>-7</v>
      </c>
      <c r="M19">
        <v>-9.5</v>
      </c>
      <c r="N19">
        <v>-16</v>
      </c>
      <c r="O19">
        <v>5</v>
      </c>
    </row>
    <row r="20" spans="1:15">
      <c r="A20">
        <v>31600</v>
      </c>
      <c r="B20" t="s">
        <v>257</v>
      </c>
      <c r="C20">
        <v>1.5</v>
      </c>
      <c r="D20">
        <v>1.3</v>
      </c>
      <c r="E20">
        <v>2.2000000000000002</v>
      </c>
      <c r="F20">
        <v>3.6</v>
      </c>
      <c r="G20">
        <v>6.1</v>
      </c>
      <c r="H20">
        <v>8.9</v>
      </c>
      <c r="I20">
        <v>11.1</v>
      </c>
      <c r="J20">
        <v>11</v>
      </c>
      <c r="K20">
        <v>9.1999999999999993</v>
      </c>
      <c r="L20">
        <v>6.7</v>
      </c>
      <c r="M20">
        <v>3.8</v>
      </c>
      <c r="N20">
        <v>2</v>
      </c>
      <c r="O20">
        <v>6</v>
      </c>
    </row>
    <row r="21" spans="1:15">
      <c r="A21">
        <v>31600</v>
      </c>
      <c r="B21" t="s">
        <v>159</v>
      </c>
      <c r="C21">
        <v>84.2</v>
      </c>
      <c r="D21">
        <v>81.3</v>
      </c>
      <c r="E21">
        <v>78.400000000000006</v>
      </c>
      <c r="F21">
        <v>76.400000000000006</v>
      </c>
      <c r="G21">
        <v>76</v>
      </c>
      <c r="H21">
        <v>77.099999999999994</v>
      </c>
      <c r="I21">
        <v>78.400000000000006</v>
      </c>
      <c r="J21">
        <v>78.900000000000006</v>
      </c>
      <c r="K21">
        <v>80.3</v>
      </c>
      <c r="L21">
        <v>82.7</v>
      </c>
      <c r="M21">
        <v>84.2</v>
      </c>
      <c r="N21">
        <v>85.7</v>
      </c>
      <c r="O21">
        <v>7</v>
      </c>
    </row>
    <row r="22" spans="1:15">
      <c r="A22">
        <v>31600</v>
      </c>
      <c r="B22" t="s">
        <v>258</v>
      </c>
      <c r="C22">
        <v>70</v>
      </c>
      <c r="D22">
        <v>65.900000000000006</v>
      </c>
      <c r="E22">
        <v>62</v>
      </c>
      <c r="F22">
        <v>59.1</v>
      </c>
      <c r="G22">
        <v>58.4</v>
      </c>
      <c r="H22">
        <v>60</v>
      </c>
      <c r="I22">
        <v>60.3</v>
      </c>
      <c r="J22">
        <v>60.6</v>
      </c>
      <c r="K22">
        <v>62.7</v>
      </c>
      <c r="L22">
        <v>65.900000000000006</v>
      </c>
      <c r="M22">
        <v>68.599999999999994</v>
      </c>
      <c r="N22">
        <v>71</v>
      </c>
      <c r="O22">
        <v>8</v>
      </c>
    </row>
    <row r="23" spans="1:15">
      <c r="A23">
        <v>31600</v>
      </c>
      <c r="B23" t="s">
        <v>259</v>
      </c>
      <c r="C23">
        <v>7</v>
      </c>
      <c r="D23">
        <v>6.9</v>
      </c>
      <c r="E23">
        <v>7.3</v>
      </c>
      <c r="F23">
        <v>8.1</v>
      </c>
      <c r="G23">
        <v>9.6</v>
      </c>
      <c r="H23">
        <v>11.6</v>
      </c>
      <c r="I23">
        <v>13.3</v>
      </c>
      <c r="J23">
        <v>13.2</v>
      </c>
      <c r="K23">
        <v>11.8</v>
      </c>
      <c r="L23">
        <v>10</v>
      </c>
      <c r="M23">
        <v>8.1999999999999993</v>
      </c>
      <c r="N23">
        <v>7.3</v>
      </c>
      <c r="O23">
        <v>9</v>
      </c>
    </row>
    <row r="24" spans="1:15">
      <c r="A24">
        <v>31600</v>
      </c>
      <c r="B24" t="s">
        <v>260</v>
      </c>
      <c r="C24">
        <v>67.5</v>
      </c>
      <c r="D24">
        <v>47</v>
      </c>
      <c r="E24">
        <v>51.7</v>
      </c>
      <c r="F24">
        <v>40.5</v>
      </c>
      <c r="G24">
        <v>48.9</v>
      </c>
      <c r="H24">
        <v>61.3</v>
      </c>
      <c r="I24">
        <v>65</v>
      </c>
      <c r="J24">
        <v>90.2</v>
      </c>
      <c r="K24">
        <v>63.7</v>
      </c>
      <c r="L24">
        <v>75.599999999999994</v>
      </c>
      <c r="M24">
        <v>62.1</v>
      </c>
      <c r="N24">
        <v>60.8</v>
      </c>
      <c r="O24">
        <v>10</v>
      </c>
    </row>
    <row r="25" spans="1:15">
      <c r="A25">
        <v>31600</v>
      </c>
      <c r="B25" t="s">
        <v>261</v>
      </c>
      <c r="C25">
        <v>36.1</v>
      </c>
      <c r="D25">
        <v>18</v>
      </c>
      <c r="E25">
        <v>23.1</v>
      </c>
      <c r="F25">
        <v>37.1</v>
      </c>
      <c r="G25">
        <v>27.9</v>
      </c>
      <c r="H25">
        <v>21.1</v>
      </c>
      <c r="I25">
        <v>34</v>
      </c>
      <c r="J25">
        <v>68.099999999999994</v>
      </c>
      <c r="K25">
        <v>32</v>
      </c>
      <c r="L25">
        <v>27.9</v>
      </c>
      <c r="M25">
        <v>35.1</v>
      </c>
      <c r="N25">
        <v>25.9</v>
      </c>
      <c r="O25">
        <v>11</v>
      </c>
    </row>
    <row r="26" spans="1:15">
      <c r="A26">
        <v>31600</v>
      </c>
      <c r="B26" t="s">
        <v>262</v>
      </c>
      <c r="C26">
        <v>1009.4</v>
      </c>
      <c r="D26">
        <v>1011.5</v>
      </c>
      <c r="E26">
        <v>1010.1</v>
      </c>
      <c r="F26">
        <v>1014.1</v>
      </c>
      <c r="G26">
        <v>1014.4</v>
      </c>
      <c r="H26">
        <v>1015</v>
      </c>
      <c r="I26">
        <v>1014.4</v>
      </c>
      <c r="J26">
        <v>1013.6</v>
      </c>
      <c r="K26">
        <v>1012.6</v>
      </c>
      <c r="L26">
        <v>1010.7</v>
      </c>
      <c r="M26">
        <v>1011.3</v>
      </c>
      <c r="N26">
        <v>1010.3</v>
      </c>
      <c r="O26">
        <v>12</v>
      </c>
    </row>
    <row r="27" spans="1:15">
      <c r="A27">
        <v>31600</v>
      </c>
      <c r="B27" t="s">
        <v>263</v>
      </c>
      <c r="C27">
        <v>12</v>
      </c>
      <c r="D27">
        <v>12.4</v>
      </c>
      <c r="E27">
        <v>12.8</v>
      </c>
      <c r="F27">
        <v>12.9</v>
      </c>
      <c r="G27">
        <v>13.2</v>
      </c>
      <c r="H27">
        <v>13.9</v>
      </c>
      <c r="I27">
        <v>13.9</v>
      </c>
      <c r="J27">
        <v>14</v>
      </c>
      <c r="K27">
        <v>13.2</v>
      </c>
      <c r="L27">
        <v>12.7</v>
      </c>
      <c r="M27">
        <v>12.3</v>
      </c>
      <c r="N27">
        <v>12.1</v>
      </c>
      <c r="O27">
        <v>13</v>
      </c>
    </row>
    <row r="28" spans="1:15">
      <c r="A28">
        <v>31600</v>
      </c>
      <c r="B28" t="s">
        <v>264</v>
      </c>
      <c r="C28">
        <v>4.9000000000000004</v>
      </c>
      <c r="D28">
        <v>4.9000000000000004</v>
      </c>
      <c r="E28">
        <v>5</v>
      </c>
      <c r="F28">
        <v>4.4000000000000004</v>
      </c>
      <c r="G28">
        <v>4.3</v>
      </c>
      <c r="H28">
        <v>4</v>
      </c>
      <c r="I28">
        <v>3.8</v>
      </c>
      <c r="J28">
        <v>3.8</v>
      </c>
      <c r="K28">
        <v>4.0999999999999996</v>
      </c>
      <c r="L28">
        <v>4.2</v>
      </c>
      <c r="M28">
        <v>4.0999999999999996</v>
      </c>
      <c r="N28">
        <v>4.4000000000000004</v>
      </c>
      <c r="O28">
        <v>14</v>
      </c>
    </row>
    <row r="29" spans="1:15">
      <c r="A29">
        <v>31600</v>
      </c>
      <c r="B29" t="s">
        <v>160</v>
      </c>
      <c r="C29">
        <v>53.5</v>
      </c>
      <c r="D29">
        <v>78.5</v>
      </c>
      <c r="E29">
        <v>114.8</v>
      </c>
      <c r="F29">
        <v>144.6</v>
      </c>
      <c r="G29">
        <v>188.4</v>
      </c>
      <c r="H29">
        <v>165.9</v>
      </c>
      <c r="I29">
        <v>172.2</v>
      </c>
      <c r="J29">
        <v>161.5</v>
      </c>
      <c r="K29">
        <v>128.80000000000001</v>
      </c>
      <c r="L29">
        <v>101.2</v>
      </c>
      <c r="M29">
        <v>71</v>
      </c>
      <c r="N29">
        <v>46.2</v>
      </c>
      <c r="O29">
        <v>15</v>
      </c>
    </row>
    <row r="30" spans="1:15">
      <c r="A30">
        <v>31600</v>
      </c>
      <c r="B30" t="s">
        <v>161</v>
      </c>
      <c r="C30" s="365">
        <v>1.7258064516129032</v>
      </c>
      <c r="D30" s="365">
        <v>2.8035714285714284</v>
      </c>
      <c r="E30" s="365">
        <v>3.7032258064516128</v>
      </c>
      <c r="F30" s="365">
        <v>4.8199999999999994</v>
      </c>
      <c r="G30" s="365">
        <v>6.0774193548387094</v>
      </c>
      <c r="H30" s="365">
        <v>5.53</v>
      </c>
      <c r="I30" s="365">
        <v>5.5548387096774192</v>
      </c>
      <c r="J30" s="365">
        <v>5.209677419354839</v>
      </c>
      <c r="K30" s="365">
        <v>4.2933333333333339</v>
      </c>
      <c r="L30" s="365">
        <v>3.2645161290322582</v>
      </c>
      <c r="M30" s="365">
        <v>2.3666666666666667</v>
      </c>
      <c r="N30" s="365">
        <v>1.4903225806451614</v>
      </c>
      <c r="O30">
        <v>16</v>
      </c>
    </row>
    <row r="31" spans="1:15">
      <c r="A31">
        <v>31600</v>
      </c>
      <c r="B31" t="s">
        <v>249</v>
      </c>
      <c r="C31">
        <v>8.6999999999999993</v>
      </c>
      <c r="D31">
        <v>7</v>
      </c>
      <c r="E31">
        <v>8.4</v>
      </c>
      <c r="F31">
        <v>7.1</v>
      </c>
      <c r="G31">
        <v>6.8</v>
      </c>
      <c r="H31">
        <v>6.7</v>
      </c>
      <c r="I31">
        <v>6.8</v>
      </c>
      <c r="J31">
        <v>7.3</v>
      </c>
      <c r="K31">
        <v>7.6</v>
      </c>
      <c r="L31">
        <v>8.6</v>
      </c>
      <c r="M31">
        <v>7.9</v>
      </c>
      <c r="N31">
        <v>8</v>
      </c>
      <c r="O31">
        <v>17</v>
      </c>
    </row>
    <row r="32" spans="1:15">
      <c r="A32">
        <v>31600</v>
      </c>
      <c r="B32" t="s">
        <v>265</v>
      </c>
      <c r="C32">
        <v>5.7</v>
      </c>
      <c r="D32">
        <v>5.5</v>
      </c>
      <c r="E32">
        <v>4.4000000000000004</v>
      </c>
      <c r="F32">
        <v>1.6</v>
      </c>
      <c r="G32">
        <v>0</v>
      </c>
      <c r="H32">
        <v>0</v>
      </c>
      <c r="I32">
        <v>0</v>
      </c>
      <c r="J32">
        <v>0</v>
      </c>
      <c r="K32">
        <v>0</v>
      </c>
      <c r="L32">
        <v>0</v>
      </c>
      <c r="M32">
        <v>0</v>
      </c>
      <c r="N32">
        <v>3.8</v>
      </c>
      <c r="O32">
        <v>18</v>
      </c>
    </row>
    <row r="33" spans="1:15">
      <c r="A33">
        <v>31600</v>
      </c>
      <c r="B33" t="s">
        <v>266</v>
      </c>
      <c r="C33">
        <v>1.8</v>
      </c>
      <c r="D33">
        <v>1.2</v>
      </c>
      <c r="E33">
        <v>0.7</v>
      </c>
      <c r="F33">
        <v>0.2</v>
      </c>
      <c r="G33">
        <v>0.1</v>
      </c>
      <c r="H33">
        <v>0.1</v>
      </c>
      <c r="I33">
        <v>0</v>
      </c>
      <c r="J33">
        <v>0</v>
      </c>
      <c r="K33">
        <v>0.3</v>
      </c>
      <c r="L33">
        <v>0.5</v>
      </c>
      <c r="M33">
        <v>0.5</v>
      </c>
      <c r="N33">
        <v>1.5</v>
      </c>
      <c r="O33">
        <v>19</v>
      </c>
    </row>
    <row r="34" spans="1:15">
      <c r="A34">
        <v>31600</v>
      </c>
      <c r="B34" t="s">
        <v>267</v>
      </c>
      <c r="C34">
        <v>2.5</v>
      </c>
      <c r="D34">
        <v>2.1</v>
      </c>
      <c r="E34">
        <v>2.2999999999999998</v>
      </c>
      <c r="F34">
        <v>3.2</v>
      </c>
      <c r="G34">
        <v>3.7</v>
      </c>
      <c r="H34">
        <v>2.9</v>
      </c>
      <c r="I34">
        <v>4.2</v>
      </c>
      <c r="J34">
        <v>4</v>
      </c>
      <c r="K34">
        <v>4.0999999999999996</v>
      </c>
      <c r="L34">
        <v>4</v>
      </c>
      <c r="M34">
        <v>3.1</v>
      </c>
      <c r="N34">
        <v>4.5999999999999996</v>
      </c>
      <c r="O34">
        <v>20</v>
      </c>
    </row>
    <row r="35" spans="1:15">
      <c r="A35">
        <v>31600</v>
      </c>
      <c r="B35" t="s">
        <v>268</v>
      </c>
      <c r="C35">
        <v>0.9</v>
      </c>
      <c r="D35">
        <v>0.5</v>
      </c>
      <c r="E35">
        <v>1.2</v>
      </c>
      <c r="F35">
        <v>1</v>
      </c>
      <c r="G35">
        <v>0.4</v>
      </c>
      <c r="H35">
        <v>0.1</v>
      </c>
      <c r="I35">
        <v>0.1</v>
      </c>
      <c r="J35">
        <v>0.1</v>
      </c>
      <c r="K35">
        <v>0.1</v>
      </c>
      <c r="L35">
        <v>0.1</v>
      </c>
      <c r="M35">
        <v>0.4</v>
      </c>
      <c r="N35">
        <v>0.3</v>
      </c>
      <c r="O35">
        <v>21</v>
      </c>
    </row>
    <row r="36" spans="1:15">
      <c r="A36">
        <v>31600</v>
      </c>
      <c r="B36" t="s">
        <v>269</v>
      </c>
      <c r="C36">
        <v>0.3</v>
      </c>
      <c r="D36">
        <v>0.1</v>
      </c>
      <c r="E36">
        <v>0.1</v>
      </c>
      <c r="F36">
        <v>0.2</v>
      </c>
      <c r="G36">
        <v>1</v>
      </c>
      <c r="H36">
        <v>0.9</v>
      </c>
      <c r="I36">
        <v>1</v>
      </c>
      <c r="J36">
        <v>0.8</v>
      </c>
      <c r="K36">
        <v>0.3</v>
      </c>
      <c r="L36">
        <v>0.1</v>
      </c>
      <c r="M36">
        <v>0.2</v>
      </c>
      <c r="N36">
        <v>0.1</v>
      </c>
      <c r="O36">
        <v>22</v>
      </c>
    </row>
    <row r="37" spans="1:15">
      <c r="A37">
        <v>31600</v>
      </c>
      <c r="B37" t="s">
        <v>270</v>
      </c>
      <c r="C37">
        <v>0</v>
      </c>
      <c r="D37">
        <v>0</v>
      </c>
      <c r="E37">
        <v>0</v>
      </c>
      <c r="F37">
        <v>0</v>
      </c>
      <c r="G37">
        <v>0.1</v>
      </c>
      <c r="H37">
        <v>0.4</v>
      </c>
      <c r="I37">
        <v>1.3</v>
      </c>
      <c r="J37">
        <v>0.6</v>
      </c>
      <c r="K37">
        <v>0.2</v>
      </c>
      <c r="L37">
        <v>0</v>
      </c>
      <c r="M37">
        <v>0</v>
      </c>
      <c r="N37">
        <v>0</v>
      </c>
      <c r="O37">
        <v>23</v>
      </c>
    </row>
    <row r="38" spans="1:15">
      <c r="A38">
        <v>31600</v>
      </c>
      <c r="B38" t="s">
        <v>271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v>0</v>
      </c>
      <c r="J38">
        <v>0</v>
      </c>
      <c r="K38">
        <v>0</v>
      </c>
      <c r="L38">
        <v>0</v>
      </c>
      <c r="M38">
        <v>0</v>
      </c>
      <c r="N38">
        <v>0</v>
      </c>
      <c r="O38">
        <v>24</v>
      </c>
    </row>
    <row r="39" spans="1:15">
      <c r="A39">
        <v>31600</v>
      </c>
      <c r="B39" t="s">
        <v>272</v>
      </c>
      <c r="C39">
        <v>12.4</v>
      </c>
      <c r="D39">
        <v>12.3</v>
      </c>
      <c r="E39">
        <v>10.4</v>
      </c>
      <c r="F39">
        <v>5.3</v>
      </c>
      <c r="G39">
        <v>1.4</v>
      </c>
      <c r="H39">
        <v>0</v>
      </c>
      <c r="I39">
        <v>0</v>
      </c>
      <c r="J39">
        <v>0</v>
      </c>
      <c r="K39">
        <v>0.4</v>
      </c>
      <c r="L39">
        <v>3.1</v>
      </c>
      <c r="M39">
        <v>8.3000000000000007</v>
      </c>
      <c r="N39">
        <v>12.5</v>
      </c>
      <c r="O39">
        <v>25</v>
      </c>
    </row>
    <row r="40" spans="1:15">
      <c r="A40">
        <v>31600</v>
      </c>
      <c r="B40" t="s">
        <v>240</v>
      </c>
      <c r="C40">
        <v>7.4</v>
      </c>
      <c r="D40">
        <v>7</v>
      </c>
      <c r="E40">
        <v>6.9</v>
      </c>
      <c r="F40">
        <v>8.1999999999999993</v>
      </c>
      <c r="G40">
        <v>9.8000000000000007</v>
      </c>
      <c r="H40">
        <v>12.3</v>
      </c>
      <c r="I40">
        <v>14.4</v>
      </c>
      <c r="J40">
        <v>15</v>
      </c>
      <c r="K40">
        <v>14.4</v>
      </c>
      <c r="L40">
        <v>13.2</v>
      </c>
      <c r="M40">
        <v>11.7</v>
      </c>
      <c r="N40">
        <v>9.4</v>
      </c>
      <c r="O40">
        <v>26</v>
      </c>
    </row>
    <row r="42" spans="1:15">
      <c r="A42">
        <v>37720</v>
      </c>
      <c r="B42" t="s">
        <v>252</v>
      </c>
      <c r="C42">
        <v>16</v>
      </c>
      <c r="D42">
        <v>20</v>
      </c>
      <c r="E42">
        <v>22.8</v>
      </c>
      <c r="F42">
        <v>28</v>
      </c>
      <c r="G42">
        <v>31</v>
      </c>
      <c r="H42">
        <v>34</v>
      </c>
      <c r="I42">
        <v>37.200000000000003</v>
      </c>
      <c r="J42">
        <v>37.9</v>
      </c>
      <c r="K42">
        <v>32.1</v>
      </c>
      <c r="L42">
        <v>28.8</v>
      </c>
      <c r="M42">
        <v>20.8</v>
      </c>
      <c r="N42">
        <v>16.399999999999999</v>
      </c>
      <c r="O42">
        <v>1</v>
      </c>
    </row>
    <row r="43" spans="1:15">
      <c r="A43">
        <v>37720</v>
      </c>
      <c r="B43" t="s">
        <v>253</v>
      </c>
      <c r="C43">
        <v>8.1999999999999993</v>
      </c>
      <c r="D43">
        <v>8.6</v>
      </c>
      <c r="E43">
        <v>11.5</v>
      </c>
      <c r="F43">
        <v>14.4</v>
      </c>
      <c r="G43">
        <v>18</v>
      </c>
      <c r="H43">
        <v>21.1</v>
      </c>
      <c r="I43">
        <v>23.7</v>
      </c>
      <c r="J43">
        <v>23.2</v>
      </c>
      <c r="K43">
        <v>20</v>
      </c>
      <c r="L43">
        <v>15.7</v>
      </c>
      <c r="M43">
        <v>11.3</v>
      </c>
      <c r="N43">
        <v>8.6</v>
      </c>
      <c r="O43">
        <v>2</v>
      </c>
    </row>
    <row r="44" spans="1:15">
      <c r="A44">
        <v>37720</v>
      </c>
      <c r="B44" t="s">
        <v>254</v>
      </c>
      <c r="C44">
        <v>5.4</v>
      </c>
      <c r="D44">
        <v>5.4</v>
      </c>
      <c r="E44">
        <v>7.5</v>
      </c>
      <c r="F44">
        <v>9.8000000000000007</v>
      </c>
      <c r="G44">
        <v>13.2</v>
      </c>
      <c r="H44">
        <v>16.3</v>
      </c>
      <c r="I44">
        <v>18.600000000000001</v>
      </c>
      <c r="J44">
        <v>18.100000000000001</v>
      </c>
      <c r="K44">
        <v>15.4</v>
      </c>
      <c r="L44">
        <v>12</v>
      </c>
      <c r="M44">
        <v>8.1999999999999993</v>
      </c>
      <c r="N44">
        <v>6</v>
      </c>
      <c r="O44">
        <v>3</v>
      </c>
    </row>
    <row r="45" spans="1:15">
      <c r="A45">
        <v>37720</v>
      </c>
      <c r="B45" t="s">
        <v>255</v>
      </c>
      <c r="C45">
        <v>1.9</v>
      </c>
      <c r="D45">
        <v>1.9</v>
      </c>
      <c r="E45">
        <v>3.6</v>
      </c>
      <c r="F45">
        <v>5.2</v>
      </c>
      <c r="G45">
        <v>8.4</v>
      </c>
      <c r="H45">
        <v>11.4</v>
      </c>
      <c r="I45">
        <v>13.7</v>
      </c>
      <c r="J45">
        <v>13.4</v>
      </c>
      <c r="K45">
        <v>10.6</v>
      </c>
      <c r="L45">
        <v>7.3</v>
      </c>
      <c r="M45">
        <v>4.4000000000000004</v>
      </c>
      <c r="N45">
        <v>2.6</v>
      </c>
      <c r="O45">
        <v>4</v>
      </c>
    </row>
    <row r="46" spans="1:15">
      <c r="A46">
        <v>37720</v>
      </c>
      <c r="B46" t="s">
        <v>256</v>
      </c>
      <c r="C46">
        <v>-10</v>
      </c>
      <c r="D46">
        <v>-10.4</v>
      </c>
      <c r="E46">
        <v>-11.9</v>
      </c>
      <c r="F46">
        <v>-6.2</v>
      </c>
      <c r="G46">
        <v>-5</v>
      </c>
      <c r="H46">
        <v>-0.1</v>
      </c>
      <c r="I46">
        <v>0</v>
      </c>
      <c r="J46">
        <v>-0.3</v>
      </c>
      <c r="K46">
        <v>-1.8</v>
      </c>
      <c r="L46">
        <v>-11.3</v>
      </c>
      <c r="M46">
        <v>-7</v>
      </c>
      <c r="N46">
        <v>-12</v>
      </c>
      <c r="O46">
        <v>5</v>
      </c>
    </row>
    <row r="47" spans="1:15">
      <c r="A47">
        <v>37720</v>
      </c>
      <c r="B47" t="s">
        <v>257</v>
      </c>
      <c r="C47">
        <v>2.8</v>
      </c>
      <c r="D47">
        <v>2.1</v>
      </c>
      <c r="E47">
        <v>3.3</v>
      </c>
      <c r="F47">
        <v>4.5</v>
      </c>
      <c r="G47">
        <v>7.4</v>
      </c>
      <c r="H47">
        <v>10.1</v>
      </c>
      <c r="I47">
        <v>12.1</v>
      </c>
      <c r="J47">
        <v>12.2</v>
      </c>
      <c r="K47">
        <v>10.7</v>
      </c>
      <c r="L47">
        <v>8.6</v>
      </c>
      <c r="M47">
        <v>5.7</v>
      </c>
      <c r="N47">
        <v>3.6</v>
      </c>
      <c r="O47">
        <v>6</v>
      </c>
    </row>
    <row r="48" spans="1:15">
      <c r="A48">
        <v>37720</v>
      </c>
      <c r="B48" t="s">
        <v>159</v>
      </c>
      <c r="C48">
        <v>83.1</v>
      </c>
      <c r="D48">
        <v>79.5</v>
      </c>
      <c r="E48">
        <v>75.2</v>
      </c>
      <c r="F48">
        <v>70.400000000000006</v>
      </c>
      <c r="G48">
        <v>68.900000000000006</v>
      </c>
      <c r="H48">
        <v>67.900000000000006</v>
      </c>
      <c r="I48">
        <v>66.900000000000006</v>
      </c>
      <c r="J48">
        <v>69.2</v>
      </c>
      <c r="K48">
        <v>74</v>
      </c>
      <c r="L48">
        <v>80</v>
      </c>
      <c r="M48">
        <v>84.1</v>
      </c>
      <c r="N48">
        <v>84.7</v>
      </c>
      <c r="O48">
        <v>7</v>
      </c>
    </row>
    <row r="49" spans="1:15">
      <c r="A49">
        <v>37720</v>
      </c>
      <c r="B49" t="s">
        <v>258</v>
      </c>
      <c r="C49">
        <v>69.099999999999994</v>
      </c>
      <c r="D49">
        <v>64.5</v>
      </c>
      <c r="E49">
        <v>58.4</v>
      </c>
      <c r="F49">
        <v>52.5</v>
      </c>
      <c r="G49">
        <v>51.5</v>
      </c>
      <c r="H49">
        <v>50.8</v>
      </c>
      <c r="I49">
        <v>49.4</v>
      </c>
      <c r="J49">
        <v>51.2</v>
      </c>
      <c r="K49">
        <v>56</v>
      </c>
      <c r="L49">
        <v>63.1</v>
      </c>
      <c r="M49">
        <v>68.8</v>
      </c>
      <c r="N49">
        <v>71.099999999999994</v>
      </c>
      <c r="O49">
        <v>8</v>
      </c>
    </row>
    <row r="50" spans="1:15">
      <c r="A50">
        <v>37720</v>
      </c>
      <c r="B50" t="s">
        <v>259</v>
      </c>
      <c r="C50">
        <v>7.7</v>
      </c>
      <c r="D50">
        <v>7.3</v>
      </c>
      <c r="E50">
        <v>8</v>
      </c>
      <c r="F50">
        <v>8.6</v>
      </c>
      <c r="G50">
        <v>10.5</v>
      </c>
      <c r="H50">
        <v>12.6</v>
      </c>
      <c r="I50">
        <v>14.3</v>
      </c>
      <c r="J50">
        <v>14.4</v>
      </c>
      <c r="K50">
        <v>13</v>
      </c>
      <c r="L50">
        <v>11.4</v>
      </c>
      <c r="M50">
        <v>9.4</v>
      </c>
      <c r="N50">
        <v>8.1999999999999993</v>
      </c>
      <c r="O50">
        <v>9</v>
      </c>
    </row>
    <row r="51" spans="1:15">
      <c r="A51">
        <v>37720</v>
      </c>
      <c r="B51" t="s">
        <v>260</v>
      </c>
      <c r="C51">
        <v>57.7</v>
      </c>
      <c r="D51">
        <v>45.6</v>
      </c>
      <c r="E51">
        <v>43.9</v>
      </c>
      <c r="F51">
        <v>42.8</v>
      </c>
      <c r="G51">
        <v>49.7</v>
      </c>
      <c r="H51">
        <v>46.7</v>
      </c>
      <c r="I51">
        <v>45.1</v>
      </c>
      <c r="J51">
        <v>59.6</v>
      </c>
      <c r="K51">
        <v>47.2</v>
      </c>
      <c r="L51">
        <v>65.2</v>
      </c>
      <c r="M51">
        <v>60</v>
      </c>
      <c r="N51">
        <v>57.1</v>
      </c>
      <c r="O51">
        <v>10</v>
      </c>
    </row>
    <row r="52" spans="1:15">
      <c r="A52">
        <v>37720</v>
      </c>
      <c r="B52" t="s">
        <v>261</v>
      </c>
      <c r="C52">
        <v>19</v>
      </c>
      <c r="D52">
        <v>24.4</v>
      </c>
      <c r="E52">
        <v>19</v>
      </c>
      <c r="F52">
        <v>21.6</v>
      </c>
      <c r="G52">
        <v>24.9</v>
      </c>
      <c r="H52">
        <v>25.9</v>
      </c>
      <c r="I52">
        <v>36.6</v>
      </c>
      <c r="J52">
        <v>36.299999999999997</v>
      </c>
      <c r="K52">
        <v>23.9</v>
      </c>
      <c r="L52">
        <v>36.1</v>
      </c>
      <c r="M52">
        <v>26.2</v>
      </c>
      <c r="N52">
        <v>24.1</v>
      </c>
      <c r="O52">
        <v>11</v>
      </c>
    </row>
    <row r="53" spans="1:15">
      <c r="A53">
        <v>37720</v>
      </c>
      <c r="B53" t="s">
        <v>262</v>
      </c>
      <c r="C53">
        <v>1015.6</v>
      </c>
      <c r="D53">
        <v>1017.9</v>
      </c>
      <c r="E53">
        <v>1017</v>
      </c>
      <c r="F53">
        <v>1014.4</v>
      </c>
      <c r="G53">
        <v>1015.8</v>
      </c>
      <c r="H53">
        <v>1016.2</v>
      </c>
      <c r="I53">
        <v>1016</v>
      </c>
      <c r="J53">
        <v>1015.7</v>
      </c>
      <c r="K53">
        <v>1014.8</v>
      </c>
      <c r="L53">
        <v>1014.8</v>
      </c>
      <c r="M53">
        <v>1014.7</v>
      </c>
      <c r="N53">
        <v>1014.8</v>
      </c>
      <c r="O53">
        <v>12</v>
      </c>
    </row>
    <row r="54" spans="1:15">
      <c r="A54">
        <v>37720</v>
      </c>
      <c r="B54" t="s">
        <v>263</v>
      </c>
      <c r="C54">
        <v>11.1</v>
      </c>
      <c r="D54">
        <v>11.4</v>
      </c>
      <c r="E54">
        <v>12</v>
      </c>
      <c r="F54">
        <v>12.6</v>
      </c>
      <c r="G54">
        <v>13.2</v>
      </c>
      <c r="H54">
        <v>14</v>
      </c>
      <c r="I54">
        <v>14.5</v>
      </c>
      <c r="J54">
        <v>14.5</v>
      </c>
      <c r="K54">
        <v>12.7</v>
      </c>
      <c r="L54">
        <v>12.4</v>
      </c>
      <c r="M54">
        <v>10.8</v>
      </c>
      <c r="N54">
        <v>11.2</v>
      </c>
      <c r="O54">
        <v>13</v>
      </c>
    </row>
    <row r="55" spans="1:15">
      <c r="A55">
        <v>37720</v>
      </c>
      <c r="B55" t="s">
        <v>264</v>
      </c>
      <c r="C55">
        <v>4.3</v>
      </c>
      <c r="D55">
        <v>4.2</v>
      </c>
      <c r="E55">
        <v>4.0999999999999996</v>
      </c>
      <c r="F55">
        <v>3.8</v>
      </c>
      <c r="G55">
        <v>3.8</v>
      </c>
      <c r="H55">
        <v>3.7</v>
      </c>
      <c r="I55">
        <v>3.7</v>
      </c>
      <c r="J55">
        <v>3.6</v>
      </c>
      <c r="K55">
        <v>3.5</v>
      </c>
      <c r="L55">
        <v>3.7</v>
      </c>
      <c r="M55">
        <v>3.6</v>
      </c>
      <c r="N55">
        <v>4</v>
      </c>
      <c r="O55">
        <v>14</v>
      </c>
    </row>
    <row r="56" spans="1:15">
      <c r="A56">
        <v>37720</v>
      </c>
      <c r="B56" t="s">
        <v>160</v>
      </c>
      <c r="C56">
        <v>61.5</v>
      </c>
      <c r="D56">
        <v>77.900000000000006</v>
      </c>
      <c r="E56">
        <v>114.6</v>
      </c>
      <c r="F56">
        <v>168.7</v>
      </c>
      <c r="G56">
        <v>198.5</v>
      </c>
      <c r="H56">
        <v>204.3</v>
      </c>
      <c r="I56">
        <v>212</v>
      </c>
      <c r="J56">
        <v>204.7</v>
      </c>
      <c r="K56">
        <v>149.30000000000001</v>
      </c>
      <c r="L56">
        <v>116.5</v>
      </c>
      <c r="M56">
        <v>72.599999999999994</v>
      </c>
      <c r="N56">
        <v>52</v>
      </c>
      <c r="O56">
        <v>15</v>
      </c>
    </row>
    <row r="57" spans="1:15">
      <c r="A57">
        <v>37720</v>
      </c>
      <c r="B57" t="s">
        <v>161</v>
      </c>
      <c r="C57" s="365">
        <v>1.9838709677419355</v>
      </c>
      <c r="D57" s="365">
        <v>2.7821428571428575</v>
      </c>
      <c r="E57" s="365">
        <v>3.6967741935483871</v>
      </c>
      <c r="F57" s="365">
        <v>5.6233333333333331</v>
      </c>
      <c r="G57" s="365">
        <v>6.403225806451613</v>
      </c>
      <c r="H57" s="365">
        <v>6.8100000000000005</v>
      </c>
      <c r="I57" s="365">
        <v>6.838709677419355</v>
      </c>
      <c r="J57" s="365">
        <v>6.6032258064516123</v>
      </c>
      <c r="K57" s="365">
        <v>4.9766666666666675</v>
      </c>
      <c r="L57" s="365">
        <v>3.7580645161290325</v>
      </c>
      <c r="M57" s="365">
        <v>2.42</v>
      </c>
      <c r="N57" s="365">
        <v>1.6774193548387097</v>
      </c>
      <c r="O57">
        <v>16</v>
      </c>
    </row>
    <row r="58" spans="1:15">
      <c r="A58">
        <v>37720</v>
      </c>
      <c r="B58" t="s">
        <v>249</v>
      </c>
      <c r="C58">
        <v>17.5</v>
      </c>
      <c r="D58">
        <v>13.9</v>
      </c>
      <c r="E58">
        <v>15</v>
      </c>
      <c r="F58">
        <v>13</v>
      </c>
      <c r="G58">
        <v>12.9</v>
      </c>
      <c r="H58">
        <v>11.7</v>
      </c>
      <c r="I58">
        <v>11.6</v>
      </c>
      <c r="J58">
        <v>12.3</v>
      </c>
      <c r="K58">
        <v>12.3</v>
      </c>
      <c r="L58">
        <v>15.5</v>
      </c>
      <c r="M58">
        <v>17.5</v>
      </c>
      <c r="N58">
        <v>16.399999999999999</v>
      </c>
      <c r="O58">
        <v>17</v>
      </c>
    </row>
    <row r="59" spans="1:15">
      <c r="A59">
        <v>37720</v>
      </c>
      <c r="B59" t="s">
        <v>265</v>
      </c>
      <c r="C59">
        <v>3.3</v>
      </c>
      <c r="D59">
        <v>4.2</v>
      </c>
      <c r="E59">
        <v>1.9</v>
      </c>
      <c r="F59">
        <v>0</v>
      </c>
      <c r="G59">
        <v>0</v>
      </c>
      <c r="H59">
        <v>0</v>
      </c>
      <c r="I59">
        <v>0</v>
      </c>
      <c r="J59">
        <v>0</v>
      </c>
      <c r="K59">
        <v>0</v>
      </c>
      <c r="L59">
        <v>0</v>
      </c>
      <c r="M59">
        <v>0</v>
      </c>
      <c r="N59">
        <v>2.4</v>
      </c>
      <c r="O59">
        <v>18</v>
      </c>
    </row>
    <row r="60" spans="1:15">
      <c r="A60">
        <v>37720</v>
      </c>
      <c r="B60" t="s">
        <v>266</v>
      </c>
      <c r="C60">
        <v>0.4</v>
      </c>
      <c r="D60">
        <v>0.3</v>
      </c>
      <c r="E60">
        <v>0.4</v>
      </c>
      <c r="F60">
        <v>0.1</v>
      </c>
      <c r="G60">
        <v>0</v>
      </c>
      <c r="H60">
        <v>0</v>
      </c>
      <c r="I60">
        <v>0.1</v>
      </c>
      <c r="J60">
        <v>0</v>
      </c>
      <c r="K60">
        <v>0.1</v>
      </c>
      <c r="L60">
        <v>0.1</v>
      </c>
      <c r="M60">
        <v>0.1</v>
      </c>
      <c r="N60">
        <v>0.1</v>
      </c>
      <c r="O60">
        <v>19</v>
      </c>
    </row>
    <row r="61" spans="1:15">
      <c r="A61">
        <v>37720</v>
      </c>
      <c r="B61" t="s">
        <v>267</v>
      </c>
      <c r="C61">
        <v>3.4</v>
      </c>
      <c r="D61">
        <v>2.1</v>
      </c>
      <c r="E61">
        <v>2.1</v>
      </c>
      <c r="F61">
        <v>1.2</v>
      </c>
      <c r="G61">
        <v>1</v>
      </c>
      <c r="H61">
        <v>0.4</v>
      </c>
      <c r="I61">
        <v>0.5</v>
      </c>
      <c r="J61">
        <v>1.1000000000000001</v>
      </c>
      <c r="K61">
        <v>2.1</v>
      </c>
      <c r="L61">
        <v>3.3</v>
      </c>
      <c r="M61">
        <v>4.8</v>
      </c>
      <c r="N61">
        <v>4.0999999999999996</v>
      </c>
      <c r="O61">
        <v>20</v>
      </c>
    </row>
    <row r="62" spans="1:15">
      <c r="A62">
        <v>37720</v>
      </c>
      <c r="B62" t="s">
        <v>268</v>
      </c>
      <c r="C62">
        <v>0.2</v>
      </c>
      <c r="D62">
        <v>0.4</v>
      </c>
      <c r="E62">
        <v>0.4</v>
      </c>
      <c r="F62">
        <v>0.6</v>
      </c>
      <c r="G62">
        <v>0.2</v>
      </c>
      <c r="H62">
        <v>0</v>
      </c>
      <c r="I62">
        <v>0</v>
      </c>
      <c r="J62">
        <v>0</v>
      </c>
      <c r="K62">
        <v>0</v>
      </c>
      <c r="L62">
        <v>0</v>
      </c>
      <c r="M62">
        <v>0.1</v>
      </c>
      <c r="N62">
        <v>0</v>
      </c>
      <c r="O62">
        <v>21</v>
      </c>
    </row>
    <row r="63" spans="1:15">
      <c r="A63">
        <v>37720</v>
      </c>
      <c r="B63" t="s">
        <v>269</v>
      </c>
      <c r="C63">
        <v>0.4</v>
      </c>
      <c r="D63">
        <v>0.4</v>
      </c>
      <c r="E63">
        <v>0.6</v>
      </c>
      <c r="F63">
        <v>1.1000000000000001</v>
      </c>
      <c r="G63">
        <v>1.7</v>
      </c>
      <c r="H63">
        <v>1.9</v>
      </c>
      <c r="I63">
        <v>2</v>
      </c>
      <c r="J63">
        <v>1.9</v>
      </c>
      <c r="K63">
        <v>1.1000000000000001</v>
      </c>
      <c r="L63">
        <v>0.9</v>
      </c>
      <c r="M63">
        <v>0.5</v>
      </c>
      <c r="N63">
        <v>0.1</v>
      </c>
      <c r="O63">
        <v>22</v>
      </c>
    </row>
    <row r="64" spans="1:15">
      <c r="A64">
        <v>37720</v>
      </c>
      <c r="B64" t="s">
        <v>270</v>
      </c>
      <c r="C64">
        <v>0</v>
      </c>
      <c r="D64">
        <v>0</v>
      </c>
      <c r="E64">
        <v>0</v>
      </c>
      <c r="F64">
        <v>0.2</v>
      </c>
      <c r="G64">
        <v>2.1</v>
      </c>
      <c r="H64">
        <v>5.0999999999999996</v>
      </c>
      <c r="I64">
        <v>11.2</v>
      </c>
      <c r="J64">
        <v>8.4</v>
      </c>
      <c r="K64">
        <v>2.1</v>
      </c>
      <c r="L64">
        <v>0.1</v>
      </c>
      <c r="M64">
        <v>0</v>
      </c>
      <c r="N64">
        <v>0</v>
      </c>
      <c r="O64">
        <v>23</v>
      </c>
    </row>
    <row r="65" spans="1:15">
      <c r="A65">
        <v>37720</v>
      </c>
      <c r="B65" t="s">
        <v>271</v>
      </c>
      <c r="C65">
        <v>0</v>
      </c>
      <c r="D65">
        <v>0</v>
      </c>
      <c r="E65">
        <v>0</v>
      </c>
      <c r="F65">
        <v>0</v>
      </c>
      <c r="G65">
        <v>0</v>
      </c>
      <c r="H65">
        <v>0</v>
      </c>
      <c r="I65">
        <v>0.1</v>
      </c>
      <c r="J65">
        <v>0.2</v>
      </c>
      <c r="K65">
        <v>0</v>
      </c>
      <c r="L65">
        <v>0</v>
      </c>
      <c r="M65">
        <v>0</v>
      </c>
      <c r="N65">
        <v>0</v>
      </c>
      <c r="O65">
        <v>24</v>
      </c>
    </row>
    <row r="66" spans="1:15">
      <c r="A66">
        <v>37720</v>
      </c>
      <c r="B66" t="s">
        <v>272</v>
      </c>
      <c r="C66">
        <v>11</v>
      </c>
      <c r="D66">
        <v>9.3000000000000007</v>
      </c>
      <c r="E66">
        <v>4.7</v>
      </c>
      <c r="F66">
        <v>1.9</v>
      </c>
      <c r="G66">
        <v>0.5</v>
      </c>
      <c r="H66">
        <v>0.3</v>
      </c>
      <c r="I66">
        <v>0.2</v>
      </c>
      <c r="J66">
        <v>0.2</v>
      </c>
      <c r="K66">
        <v>0.8</v>
      </c>
      <c r="L66">
        <v>2.6</v>
      </c>
      <c r="M66">
        <v>6.2</v>
      </c>
      <c r="N66">
        <v>9.9</v>
      </c>
      <c r="O66">
        <v>25</v>
      </c>
    </row>
    <row r="67" spans="1:15">
      <c r="A67">
        <v>37720</v>
      </c>
      <c r="B67" t="s">
        <v>240</v>
      </c>
      <c r="O67">
        <v>26</v>
      </c>
    </row>
    <row r="69" spans="1:15">
      <c r="A69">
        <v>75860</v>
      </c>
      <c r="B69" t="s">
        <v>252</v>
      </c>
      <c r="C69">
        <v>21</v>
      </c>
      <c r="D69">
        <v>23.1</v>
      </c>
      <c r="E69">
        <v>28.1</v>
      </c>
      <c r="F69">
        <v>30.8</v>
      </c>
      <c r="G69">
        <v>35.4</v>
      </c>
      <c r="H69">
        <v>44.3</v>
      </c>
      <c r="I69">
        <v>41.6</v>
      </c>
      <c r="J69">
        <v>40.9</v>
      </c>
      <c r="K69">
        <v>36</v>
      </c>
      <c r="L69">
        <v>31</v>
      </c>
      <c r="M69">
        <v>25</v>
      </c>
      <c r="N69">
        <v>21.5</v>
      </c>
      <c r="O69">
        <v>1</v>
      </c>
    </row>
    <row r="70" spans="1:15">
      <c r="A70">
        <v>75860</v>
      </c>
      <c r="B70" t="s">
        <v>253</v>
      </c>
      <c r="C70">
        <v>10.9</v>
      </c>
      <c r="D70">
        <v>12.4</v>
      </c>
      <c r="E70">
        <v>16.600000000000001</v>
      </c>
      <c r="F70">
        <v>20.100000000000001</v>
      </c>
      <c r="G70">
        <v>24.3</v>
      </c>
      <c r="H70">
        <v>29.1</v>
      </c>
      <c r="I70">
        <v>32.4</v>
      </c>
      <c r="J70">
        <v>31.5</v>
      </c>
      <c r="K70">
        <v>26.9</v>
      </c>
      <c r="L70">
        <v>21.4</v>
      </c>
      <c r="M70">
        <v>15</v>
      </c>
      <c r="N70">
        <v>11.4</v>
      </c>
      <c r="O70">
        <v>2</v>
      </c>
    </row>
    <row r="71" spans="1:15">
      <c r="A71">
        <v>75860</v>
      </c>
      <c r="B71" t="s">
        <v>254</v>
      </c>
      <c r="C71">
        <v>5.2</v>
      </c>
      <c r="D71">
        <v>6.3</v>
      </c>
      <c r="E71">
        <v>10.1</v>
      </c>
      <c r="F71">
        <v>13.4</v>
      </c>
      <c r="G71">
        <v>17.600000000000001</v>
      </c>
      <c r="H71">
        <v>22</v>
      </c>
      <c r="I71">
        <v>24.9</v>
      </c>
      <c r="J71">
        <v>23.7</v>
      </c>
      <c r="K71">
        <v>19.600000000000001</v>
      </c>
      <c r="L71">
        <v>15.1</v>
      </c>
      <c r="M71">
        <v>9.4</v>
      </c>
      <c r="N71">
        <v>5.9</v>
      </c>
      <c r="O71">
        <v>3</v>
      </c>
    </row>
    <row r="72" spans="1:15">
      <c r="A72">
        <v>75860</v>
      </c>
      <c r="B72" t="s">
        <v>255</v>
      </c>
      <c r="C72">
        <v>0.4</v>
      </c>
      <c r="D72">
        <v>1</v>
      </c>
      <c r="E72">
        <v>4.2</v>
      </c>
      <c r="F72">
        <v>7.1</v>
      </c>
      <c r="G72">
        <v>11</v>
      </c>
      <c r="H72">
        <v>14.7</v>
      </c>
      <c r="I72">
        <v>17.2</v>
      </c>
      <c r="J72">
        <v>16.3</v>
      </c>
      <c r="K72">
        <v>13.2</v>
      </c>
      <c r="L72">
        <v>9.6</v>
      </c>
      <c r="M72">
        <v>4.8</v>
      </c>
      <c r="N72">
        <v>1.3</v>
      </c>
      <c r="O72">
        <v>4</v>
      </c>
    </row>
    <row r="73" spans="1:15">
      <c r="A73">
        <v>75860</v>
      </c>
      <c r="B73" t="s">
        <v>256</v>
      </c>
      <c r="C73">
        <v>-15.3</v>
      </c>
      <c r="D73">
        <v>-12.8</v>
      </c>
      <c r="E73">
        <v>-11.2</v>
      </c>
      <c r="F73">
        <v>-1.6</v>
      </c>
      <c r="G73">
        <v>1.3</v>
      </c>
      <c r="H73">
        <v>6.9</v>
      </c>
      <c r="I73">
        <v>8.1999999999999993</v>
      </c>
      <c r="J73">
        <v>8.4</v>
      </c>
      <c r="K73">
        <v>4.5999999999999996</v>
      </c>
      <c r="L73">
        <v>-2.1</v>
      </c>
      <c r="M73">
        <v>-8.1</v>
      </c>
      <c r="N73">
        <v>-10.6</v>
      </c>
      <c r="O73">
        <v>5</v>
      </c>
    </row>
    <row r="74" spans="1:15">
      <c r="A74">
        <v>75860</v>
      </c>
      <c r="B74" t="s">
        <v>257</v>
      </c>
      <c r="C74">
        <v>0.8</v>
      </c>
      <c r="D74">
        <v>0.6</v>
      </c>
      <c r="E74">
        <v>3</v>
      </c>
      <c r="F74">
        <v>5.7</v>
      </c>
      <c r="G74">
        <v>9.5</v>
      </c>
      <c r="H74">
        <v>12.4</v>
      </c>
      <c r="I74">
        <v>13.6</v>
      </c>
      <c r="J74">
        <v>13.8</v>
      </c>
      <c r="K74">
        <v>12.4</v>
      </c>
      <c r="L74">
        <v>10.1</v>
      </c>
      <c r="M74">
        <v>5.3</v>
      </c>
      <c r="N74">
        <v>1.9</v>
      </c>
      <c r="O74">
        <v>6</v>
      </c>
    </row>
    <row r="75" spans="1:15">
      <c r="A75">
        <v>75860</v>
      </c>
      <c r="B75" t="s">
        <v>159</v>
      </c>
      <c r="C75">
        <v>74</v>
      </c>
      <c r="D75">
        <v>68.3</v>
      </c>
      <c r="E75">
        <v>62.6</v>
      </c>
      <c r="F75">
        <v>60.7</v>
      </c>
      <c r="G75">
        <v>60.4</v>
      </c>
      <c r="H75">
        <v>55.9</v>
      </c>
      <c r="I75">
        <v>50.7</v>
      </c>
      <c r="J75">
        <v>54.8</v>
      </c>
      <c r="K75">
        <v>64.099999999999994</v>
      </c>
      <c r="L75">
        <v>73.099999999999994</v>
      </c>
      <c r="M75">
        <v>76.400000000000006</v>
      </c>
      <c r="N75">
        <v>76.599999999999994</v>
      </c>
      <c r="O75">
        <v>7</v>
      </c>
    </row>
    <row r="76" spans="1:15">
      <c r="A76">
        <v>75860</v>
      </c>
      <c r="B76" t="s">
        <v>258</v>
      </c>
      <c r="C76">
        <v>50.9</v>
      </c>
      <c r="D76">
        <v>46</v>
      </c>
      <c r="E76">
        <v>41.7</v>
      </c>
      <c r="F76">
        <v>40.4</v>
      </c>
      <c r="G76">
        <v>40.4</v>
      </c>
      <c r="H76">
        <v>37</v>
      </c>
      <c r="I76">
        <v>33</v>
      </c>
      <c r="J76">
        <v>35.299999999999997</v>
      </c>
      <c r="K76">
        <v>42.1</v>
      </c>
      <c r="L76">
        <v>49.7</v>
      </c>
      <c r="M76">
        <v>53.4</v>
      </c>
      <c r="N76">
        <v>53.2</v>
      </c>
      <c r="O76">
        <v>8</v>
      </c>
    </row>
    <row r="77" spans="1:15">
      <c r="A77">
        <v>75860</v>
      </c>
      <c r="B77" t="s">
        <v>259</v>
      </c>
      <c r="C77">
        <v>6.7</v>
      </c>
      <c r="D77">
        <v>6.7</v>
      </c>
      <c r="E77">
        <v>7.9</v>
      </c>
      <c r="F77">
        <v>9.4</v>
      </c>
      <c r="G77">
        <v>12.1</v>
      </c>
      <c r="H77">
        <v>14.7</v>
      </c>
      <c r="I77">
        <v>15.9</v>
      </c>
      <c r="J77">
        <v>16.100000000000001</v>
      </c>
      <c r="K77">
        <v>14.7</v>
      </c>
      <c r="L77">
        <v>12.7</v>
      </c>
      <c r="M77">
        <v>9.3000000000000007</v>
      </c>
      <c r="N77">
        <v>7.3</v>
      </c>
      <c r="O77">
        <v>9</v>
      </c>
    </row>
    <row r="78" spans="1:15">
      <c r="A78">
        <v>75860</v>
      </c>
      <c r="B78" t="s">
        <v>260</v>
      </c>
      <c r="C78">
        <v>48.8</v>
      </c>
      <c r="D78">
        <v>37.6</v>
      </c>
      <c r="E78">
        <v>38.6</v>
      </c>
      <c r="F78">
        <v>66.099999999999994</v>
      </c>
      <c r="G78">
        <v>62.5</v>
      </c>
      <c r="H78">
        <v>41</v>
      </c>
      <c r="I78">
        <v>26.6</v>
      </c>
      <c r="J78">
        <v>45.8</v>
      </c>
      <c r="K78">
        <v>97.6</v>
      </c>
      <c r="L78">
        <v>91.4</v>
      </c>
      <c r="M78">
        <v>71.099999999999994</v>
      </c>
      <c r="N78">
        <v>49</v>
      </c>
      <c r="O78">
        <v>10</v>
      </c>
    </row>
    <row r="79" spans="1:15">
      <c r="A79">
        <v>75860</v>
      </c>
      <c r="B79" t="s">
        <v>261</v>
      </c>
      <c r="C79">
        <v>34.799999999999997</v>
      </c>
      <c r="D79">
        <v>25.9</v>
      </c>
      <c r="E79">
        <v>32.799999999999997</v>
      </c>
      <c r="F79">
        <v>66.3</v>
      </c>
      <c r="G79">
        <v>35.799999999999997</v>
      </c>
      <c r="H79">
        <v>43.9</v>
      </c>
      <c r="I79">
        <v>43.9</v>
      </c>
      <c r="J79">
        <v>66</v>
      </c>
      <c r="K79">
        <v>49</v>
      </c>
      <c r="L79">
        <v>71.900000000000006</v>
      </c>
      <c r="M79">
        <v>56.1</v>
      </c>
      <c r="N79">
        <v>36.799999999999997</v>
      </c>
      <c r="O79">
        <v>11</v>
      </c>
    </row>
    <row r="80" spans="1:15">
      <c r="A80">
        <v>75860</v>
      </c>
      <c r="B80" t="s">
        <v>262</v>
      </c>
      <c r="C80">
        <v>1019.3</v>
      </c>
      <c r="D80">
        <v>1017.2</v>
      </c>
      <c r="E80">
        <v>1016.1</v>
      </c>
      <c r="F80">
        <v>1013.4</v>
      </c>
      <c r="G80">
        <v>1014.6</v>
      </c>
      <c r="H80">
        <v>1015.3</v>
      </c>
      <c r="I80">
        <v>1014.9</v>
      </c>
      <c r="J80">
        <v>1015.1</v>
      </c>
      <c r="K80">
        <v>1016.5</v>
      </c>
      <c r="L80">
        <v>1016.9</v>
      </c>
      <c r="M80">
        <v>1016.1</v>
      </c>
      <c r="N80">
        <v>1020</v>
      </c>
      <c r="O80">
        <v>12</v>
      </c>
    </row>
    <row r="81" spans="1:15">
      <c r="A81">
        <v>75860</v>
      </c>
      <c r="B81" t="s">
        <v>263</v>
      </c>
      <c r="C81">
        <v>24.7</v>
      </c>
      <c r="D81">
        <v>22.1</v>
      </c>
      <c r="E81">
        <v>28.4</v>
      </c>
      <c r="F81">
        <v>29.8</v>
      </c>
      <c r="G81">
        <v>33.5</v>
      </c>
      <c r="H81">
        <v>36.9</v>
      </c>
      <c r="I81">
        <v>36.9</v>
      </c>
      <c r="J81">
        <v>39.4</v>
      </c>
      <c r="K81">
        <v>32.9</v>
      </c>
      <c r="L81">
        <v>28</v>
      </c>
      <c r="M81">
        <v>25.9</v>
      </c>
      <c r="N81">
        <v>24.6</v>
      </c>
      <c r="O81">
        <v>13</v>
      </c>
    </row>
    <row r="82" spans="1:15">
      <c r="A82">
        <v>75860</v>
      </c>
      <c r="B82" t="s">
        <v>264</v>
      </c>
      <c r="C82">
        <v>2.2999999999999998</v>
      </c>
      <c r="D82">
        <v>2.6</v>
      </c>
      <c r="E82">
        <v>2.8</v>
      </c>
      <c r="F82">
        <v>2.9</v>
      </c>
      <c r="G82">
        <v>2.7</v>
      </c>
      <c r="H82">
        <v>2.6</v>
      </c>
      <c r="I82">
        <v>2.7</v>
      </c>
      <c r="J82">
        <v>2.5</v>
      </c>
      <c r="K82">
        <v>2.2000000000000002</v>
      </c>
      <c r="L82">
        <v>2.2000000000000002</v>
      </c>
      <c r="M82">
        <v>2.2999999999999998</v>
      </c>
      <c r="N82">
        <v>2.2000000000000002</v>
      </c>
      <c r="O82">
        <v>14</v>
      </c>
    </row>
    <row r="83" spans="1:15">
      <c r="A83">
        <v>75860</v>
      </c>
      <c r="B83" t="s">
        <v>160</v>
      </c>
      <c r="C83">
        <v>141.6</v>
      </c>
      <c r="D83">
        <v>166.3</v>
      </c>
      <c r="E83">
        <v>222.2</v>
      </c>
      <c r="F83">
        <v>229.8</v>
      </c>
      <c r="G83">
        <v>262</v>
      </c>
      <c r="H83">
        <v>311</v>
      </c>
      <c r="I83">
        <v>341.1</v>
      </c>
      <c r="J83">
        <v>301.60000000000002</v>
      </c>
      <c r="K83">
        <v>239</v>
      </c>
      <c r="L83">
        <v>166.6</v>
      </c>
      <c r="M83">
        <v>147.9</v>
      </c>
      <c r="N83">
        <v>134</v>
      </c>
      <c r="O83">
        <v>15</v>
      </c>
    </row>
    <row r="84" spans="1:15">
      <c r="A84">
        <v>75860</v>
      </c>
      <c r="B84" t="s">
        <v>161</v>
      </c>
      <c r="C84" s="365">
        <v>4.5677419354838706</v>
      </c>
      <c r="D84" s="365">
        <v>5.9392857142857149</v>
      </c>
      <c r="E84" s="365">
        <v>7.1677419354838703</v>
      </c>
      <c r="F84" s="365">
        <v>7.66</v>
      </c>
      <c r="G84" s="365">
        <v>8.4516129032258061</v>
      </c>
      <c r="H84" s="365">
        <v>10.366666666666667</v>
      </c>
      <c r="I84" s="365">
        <v>11.003225806451614</v>
      </c>
      <c r="J84" s="365">
        <v>9.7290322580645174</v>
      </c>
      <c r="K84" s="365">
        <v>7.9666666666666668</v>
      </c>
      <c r="L84" s="365">
        <v>5.3741935483870966</v>
      </c>
      <c r="M84" s="365">
        <v>4.9300000000000006</v>
      </c>
      <c r="N84" s="365">
        <v>4.32258064516129</v>
      </c>
      <c r="O84">
        <v>16</v>
      </c>
    </row>
    <row r="85" spans="1:15">
      <c r="A85">
        <v>75860</v>
      </c>
      <c r="B85" t="s">
        <v>249</v>
      </c>
      <c r="C85">
        <v>7.1</v>
      </c>
      <c r="D85">
        <v>6.8</v>
      </c>
      <c r="E85">
        <v>7.4</v>
      </c>
      <c r="F85">
        <v>8.1999999999999993</v>
      </c>
      <c r="G85">
        <v>8.6</v>
      </c>
      <c r="H85">
        <v>5.6</v>
      </c>
      <c r="I85">
        <v>3.5</v>
      </c>
      <c r="J85">
        <v>3.7</v>
      </c>
      <c r="K85">
        <v>6</v>
      </c>
      <c r="L85">
        <v>10.8</v>
      </c>
      <c r="M85">
        <v>10.3</v>
      </c>
      <c r="N85">
        <v>7.8</v>
      </c>
      <c r="O85">
        <v>17</v>
      </c>
    </row>
    <row r="86" spans="1:15">
      <c r="A86">
        <v>75860</v>
      </c>
      <c r="B86" t="s">
        <v>265</v>
      </c>
      <c r="C86">
        <v>0</v>
      </c>
      <c r="D86">
        <v>0</v>
      </c>
      <c r="E86">
        <v>0</v>
      </c>
      <c r="F86">
        <v>0</v>
      </c>
      <c r="G86">
        <v>0</v>
      </c>
      <c r="H86">
        <v>0</v>
      </c>
      <c r="I86">
        <v>0</v>
      </c>
      <c r="J86">
        <v>0</v>
      </c>
      <c r="K86">
        <v>0</v>
      </c>
      <c r="L86">
        <v>0</v>
      </c>
      <c r="M86">
        <v>0</v>
      </c>
      <c r="N86">
        <v>0</v>
      </c>
      <c r="O86">
        <v>18</v>
      </c>
    </row>
    <row r="87" spans="1:15">
      <c r="A87">
        <v>75860</v>
      </c>
      <c r="B87" t="s">
        <v>266</v>
      </c>
      <c r="C87">
        <v>0</v>
      </c>
      <c r="D87">
        <v>0.1</v>
      </c>
      <c r="E87">
        <v>0</v>
      </c>
      <c r="F87">
        <v>0.1</v>
      </c>
      <c r="G87">
        <v>0</v>
      </c>
      <c r="H87">
        <v>0</v>
      </c>
      <c r="I87">
        <v>0</v>
      </c>
      <c r="J87">
        <v>0</v>
      </c>
      <c r="K87">
        <v>0</v>
      </c>
      <c r="L87">
        <v>0</v>
      </c>
      <c r="M87">
        <v>0</v>
      </c>
      <c r="N87">
        <v>0</v>
      </c>
      <c r="O87">
        <v>19</v>
      </c>
    </row>
    <row r="88" spans="1:15">
      <c r="A88">
        <v>75860</v>
      </c>
      <c r="B88" t="s">
        <v>267</v>
      </c>
      <c r="C88">
        <v>1.5</v>
      </c>
      <c r="D88">
        <v>0.9</v>
      </c>
      <c r="E88">
        <v>0.8</v>
      </c>
      <c r="F88">
        <v>0.9</v>
      </c>
      <c r="G88">
        <v>0.5</v>
      </c>
      <c r="H88">
        <v>0.3</v>
      </c>
      <c r="I88">
        <v>0.2</v>
      </c>
      <c r="J88">
        <v>0.2</v>
      </c>
      <c r="K88">
        <v>0.8</v>
      </c>
      <c r="L88">
        <v>1.1000000000000001</v>
      </c>
      <c r="M88">
        <v>1.2</v>
      </c>
      <c r="N88">
        <v>1.4</v>
      </c>
      <c r="O88">
        <v>20</v>
      </c>
    </row>
    <row r="89" spans="1:15">
      <c r="A89">
        <v>75860</v>
      </c>
      <c r="B89" t="s">
        <v>268</v>
      </c>
      <c r="C89">
        <v>0</v>
      </c>
      <c r="D89">
        <v>0</v>
      </c>
      <c r="E89">
        <v>0</v>
      </c>
      <c r="F89">
        <v>0.1</v>
      </c>
      <c r="G89">
        <v>0</v>
      </c>
      <c r="H89">
        <v>0</v>
      </c>
      <c r="I89">
        <v>0</v>
      </c>
      <c r="J89">
        <v>0</v>
      </c>
      <c r="K89">
        <v>0</v>
      </c>
      <c r="L89">
        <v>0</v>
      </c>
      <c r="M89">
        <v>0</v>
      </c>
      <c r="N89">
        <v>0</v>
      </c>
      <c r="O89">
        <v>21</v>
      </c>
    </row>
    <row r="90" spans="1:15">
      <c r="A90">
        <v>75860</v>
      </c>
      <c r="B90" t="s">
        <v>269</v>
      </c>
      <c r="C90">
        <v>0</v>
      </c>
      <c r="D90">
        <v>0.1</v>
      </c>
      <c r="E90">
        <v>0.2</v>
      </c>
      <c r="F90">
        <v>0.5</v>
      </c>
      <c r="G90">
        <v>1.4</v>
      </c>
      <c r="H90">
        <v>1.4</v>
      </c>
      <c r="I90">
        <v>0.9</v>
      </c>
      <c r="J90">
        <v>0.9</v>
      </c>
      <c r="K90">
        <v>0.7</v>
      </c>
      <c r="L90">
        <v>0.7</v>
      </c>
      <c r="M90">
        <v>0.3</v>
      </c>
      <c r="N90">
        <v>0.1</v>
      </c>
      <c r="O90">
        <v>22</v>
      </c>
    </row>
    <row r="91" spans="1:15">
      <c r="A91">
        <v>75860</v>
      </c>
      <c r="B91" t="s">
        <v>270</v>
      </c>
      <c r="C91">
        <v>0</v>
      </c>
      <c r="D91">
        <v>0</v>
      </c>
      <c r="E91">
        <v>0.4</v>
      </c>
      <c r="F91">
        <v>3.7</v>
      </c>
      <c r="G91">
        <v>14.7</v>
      </c>
      <c r="H91">
        <v>24.6</v>
      </c>
      <c r="I91">
        <v>29.9</v>
      </c>
      <c r="J91">
        <v>29.2</v>
      </c>
      <c r="K91">
        <v>20.7</v>
      </c>
      <c r="L91">
        <v>5.8</v>
      </c>
      <c r="M91">
        <v>0</v>
      </c>
      <c r="N91">
        <v>0</v>
      </c>
      <c r="O91">
        <v>23</v>
      </c>
    </row>
    <row r="92" spans="1:15">
      <c r="A92">
        <v>75860</v>
      </c>
      <c r="B92" t="s">
        <v>271</v>
      </c>
      <c r="C92">
        <v>0</v>
      </c>
      <c r="D92">
        <v>0</v>
      </c>
      <c r="E92">
        <v>0</v>
      </c>
      <c r="F92">
        <v>0</v>
      </c>
      <c r="G92">
        <v>0.3</v>
      </c>
      <c r="H92">
        <v>2</v>
      </c>
      <c r="I92">
        <v>4.0999999999999996</v>
      </c>
      <c r="J92">
        <v>2.9</v>
      </c>
      <c r="K92">
        <v>1.3</v>
      </c>
      <c r="L92">
        <v>0.1</v>
      </c>
      <c r="M92">
        <v>0</v>
      </c>
      <c r="N92">
        <v>0</v>
      </c>
      <c r="O92">
        <v>24</v>
      </c>
    </row>
    <row r="93" spans="1:15">
      <c r="A93">
        <v>75860</v>
      </c>
      <c r="B93" t="s">
        <v>272</v>
      </c>
      <c r="C93">
        <v>14.6</v>
      </c>
      <c r="D93">
        <v>11.2</v>
      </c>
      <c r="E93">
        <v>4.5</v>
      </c>
      <c r="F93">
        <v>0.3</v>
      </c>
      <c r="G93">
        <v>0</v>
      </c>
      <c r="H93">
        <v>0</v>
      </c>
      <c r="I93">
        <v>0</v>
      </c>
      <c r="J93">
        <v>0</v>
      </c>
      <c r="K93">
        <v>0</v>
      </c>
      <c r="L93">
        <v>0.5</v>
      </c>
      <c r="M93">
        <v>4.7</v>
      </c>
      <c r="N93">
        <v>13.1</v>
      </c>
      <c r="O93">
        <v>25</v>
      </c>
    </row>
    <row r="94" spans="1:15">
      <c r="A94">
        <v>75860</v>
      </c>
      <c r="B94" t="s">
        <v>240</v>
      </c>
      <c r="O94">
        <v>26</v>
      </c>
    </row>
    <row r="96" spans="1:15">
      <c r="A96">
        <v>162420</v>
      </c>
      <c r="B96" t="s">
        <v>252</v>
      </c>
      <c r="C96">
        <v>22.1</v>
      </c>
      <c r="D96">
        <v>22.1</v>
      </c>
      <c r="E96">
        <v>26.3</v>
      </c>
      <c r="F96">
        <v>28.4</v>
      </c>
      <c r="G96">
        <v>33.1</v>
      </c>
      <c r="H96">
        <v>36.5</v>
      </c>
      <c r="I96">
        <v>38.6</v>
      </c>
      <c r="J96">
        <v>37.1</v>
      </c>
      <c r="K96">
        <v>37.6</v>
      </c>
      <c r="L96">
        <v>33.6</v>
      </c>
      <c r="M96">
        <v>28.5</v>
      </c>
      <c r="N96">
        <v>23</v>
      </c>
      <c r="O96">
        <v>1</v>
      </c>
    </row>
    <row r="97" spans="1:15">
      <c r="A97">
        <v>162420</v>
      </c>
      <c r="B97" t="s">
        <v>253</v>
      </c>
      <c r="C97">
        <v>13.2</v>
      </c>
      <c r="D97">
        <v>13.7</v>
      </c>
      <c r="E97">
        <v>15.9</v>
      </c>
      <c r="F97">
        <v>18.7</v>
      </c>
      <c r="G97">
        <v>22.9</v>
      </c>
      <c r="H97">
        <v>26.7</v>
      </c>
      <c r="I97">
        <v>29.5</v>
      </c>
      <c r="J97">
        <v>29.9</v>
      </c>
      <c r="K97">
        <v>26.4</v>
      </c>
      <c r="L97">
        <v>22.6</v>
      </c>
      <c r="M97">
        <v>17.7</v>
      </c>
      <c r="N97">
        <v>14.2</v>
      </c>
      <c r="O97">
        <v>2</v>
      </c>
    </row>
    <row r="98" spans="1:15">
      <c r="A98">
        <v>162420</v>
      </c>
      <c r="B98" t="s">
        <v>254</v>
      </c>
      <c r="C98">
        <v>8.1999999999999993</v>
      </c>
      <c r="D98">
        <v>8.6</v>
      </c>
      <c r="E98">
        <v>11</v>
      </c>
      <c r="F98">
        <v>13.7</v>
      </c>
      <c r="G98">
        <v>17.7</v>
      </c>
      <c r="H98">
        <v>21.7</v>
      </c>
      <c r="I98">
        <v>24.4</v>
      </c>
      <c r="J98">
        <v>24.6</v>
      </c>
      <c r="K98">
        <v>21.2</v>
      </c>
      <c r="L98">
        <v>17.5</v>
      </c>
      <c r="M98">
        <v>12.8</v>
      </c>
      <c r="N98">
        <v>9.3000000000000007</v>
      </c>
      <c r="O98">
        <v>3</v>
      </c>
    </row>
    <row r="99" spans="1:15">
      <c r="A99">
        <v>162420</v>
      </c>
      <c r="B99" t="s">
        <v>255</v>
      </c>
      <c r="C99">
        <v>3.5</v>
      </c>
      <c r="D99">
        <v>3.6</v>
      </c>
      <c r="E99">
        <v>5.6</v>
      </c>
      <c r="F99">
        <v>8.1</v>
      </c>
      <c r="G99">
        <v>11.8</v>
      </c>
      <c r="H99">
        <v>15.8</v>
      </c>
      <c r="I99">
        <v>18.5</v>
      </c>
      <c r="J99">
        <v>18.899999999999999</v>
      </c>
      <c r="K99">
        <v>16</v>
      </c>
      <c r="L99">
        <v>12.6</v>
      </c>
      <c r="M99">
        <v>8.4</v>
      </c>
      <c r="N99">
        <v>4.9000000000000004</v>
      </c>
      <c r="O99">
        <v>4</v>
      </c>
    </row>
    <row r="100" spans="1:15">
      <c r="A100">
        <v>162420</v>
      </c>
      <c r="B100" t="s">
        <v>256</v>
      </c>
      <c r="C100">
        <v>-8</v>
      </c>
      <c r="D100">
        <v>-5</v>
      </c>
      <c r="E100">
        <v>-4.5999999999999996</v>
      </c>
      <c r="F100">
        <v>-0.9</v>
      </c>
      <c r="G100">
        <v>0</v>
      </c>
      <c r="H100">
        <v>4</v>
      </c>
      <c r="I100">
        <v>4</v>
      </c>
      <c r="J100">
        <v>9</v>
      </c>
      <c r="K100">
        <v>4</v>
      </c>
      <c r="L100">
        <v>0</v>
      </c>
      <c r="M100">
        <v>-1.4</v>
      </c>
      <c r="N100">
        <v>-4.7</v>
      </c>
      <c r="O100">
        <v>5</v>
      </c>
    </row>
    <row r="101" spans="1:15">
      <c r="A101">
        <v>162420</v>
      </c>
      <c r="B101" t="s">
        <v>257</v>
      </c>
      <c r="C101">
        <v>4</v>
      </c>
      <c r="D101">
        <v>4</v>
      </c>
      <c r="E101">
        <v>6.3</v>
      </c>
      <c r="F101">
        <v>9.1999999999999993</v>
      </c>
      <c r="G101">
        <v>12.9</v>
      </c>
      <c r="H101">
        <v>16.3</v>
      </c>
      <c r="I101">
        <v>18.7</v>
      </c>
      <c r="J101">
        <v>19</v>
      </c>
      <c r="K101">
        <v>16.100000000000001</v>
      </c>
      <c r="L101">
        <v>13.2</v>
      </c>
      <c r="M101">
        <v>9</v>
      </c>
      <c r="N101">
        <v>5.2</v>
      </c>
      <c r="O101">
        <v>6</v>
      </c>
    </row>
    <row r="102" spans="1:15">
      <c r="A102">
        <v>162420</v>
      </c>
      <c r="B102" t="s">
        <v>159</v>
      </c>
      <c r="C102">
        <v>75.5</v>
      </c>
      <c r="D102">
        <v>73.7</v>
      </c>
      <c r="E102">
        <v>74.2</v>
      </c>
      <c r="F102">
        <v>75</v>
      </c>
      <c r="G102">
        <v>74.400000000000006</v>
      </c>
      <c r="H102">
        <v>72.099999999999994</v>
      </c>
      <c r="I102">
        <v>71.3</v>
      </c>
      <c r="J102">
        <v>71.7</v>
      </c>
      <c r="K102">
        <v>73.400000000000006</v>
      </c>
      <c r="L102">
        <v>76.900000000000006</v>
      </c>
      <c r="M102">
        <v>77.7</v>
      </c>
      <c r="N102">
        <v>76.400000000000006</v>
      </c>
      <c r="O102">
        <v>7</v>
      </c>
    </row>
    <row r="103" spans="1:15">
      <c r="A103">
        <v>162420</v>
      </c>
      <c r="B103" t="s">
        <v>258</v>
      </c>
      <c r="C103">
        <v>54.8</v>
      </c>
      <c r="D103">
        <v>53.3</v>
      </c>
      <c r="E103">
        <v>54.3</v>
      </c>
      <c r="F103">
        <v>55.2</v>
      </c>
      <c r="G103">
        <v>54.5</v>
      </c>
      <c r="H103">
        <v>53.6</v>
      </c>
      <c r="I103">
        <v>53.3</v>
      </c>
      <c r="J103">
        <v>53.1</v>
      </c>
      <c r="K103">
        <v>54.3</v>
      </c>
      <c r="L103">
        <v>56.3</v>
      </c>
      <c r="M103">
        <v>57.5</v>
      </c>
      <c r="N103">
        <v>56.1</v>
      </c>
      <c r="O103">
        <v>8</v>
      </c>
    </row>
    <row r="104" spans="1:15">
      <c r="A104">
        <v>162420</v>
      </c>
      <c r="B104" t="s">
        <v>259</v>
      </c>
      <c r="C104">
        <v>8.5</v>
      </c>
      <c r="D104">
        <v>8.5</v>
      </c>
      <c r="E104">
        <v>9.9</v>
      </c>
      <c r="F104">
        <v>11.8</v>
      </c>
      <c r="G104">
        <v>15.1</v>
      </c>
      <c r="H104">
        <v>18.7</v>
      </c>
      <c r="I104">
        <v>21.8</v>
      </c>
      <c r="J104">
        <v>22.3</v>
      </c>
      <c r="K104">
        <v>18.7</v>
      </c>
      <c r="L104">
        <v>15.6</v>
      </c>
      <c r="M104">
        <v>11.8</v>
      </c>
      <c r="N104">
        <v>9.3000000000000007</v>
      </c>
      <c r="O104">
        <v>9</v>
      </c>
    </row>
    <row r="105" spans="1:15">
      <c r="A105">
        <v>162420</v>
      </c>
      <c r="B105" t="s">
        <v>260</v>
      </c>
      <c r="C105">
        <v>67.5</v>
      </c>
      <c r="D105">
        <v>65.3</v>
      </c>
      <c r="E105">
        <v>56.8</v>
      </c>
      <c r="F105">
        <v>56.4</v>
      </c>
      <c r="G105">
        <v>45.9</v>
      </c>
      <c r="H105">
        <v>22.2</v>
      </c>
      <c r="I105">
        <v>18</v>
      </c>
      <c r="J105">
        <v>28.5</v>
      </c>
      <c r="K105">
        <v>71.599999999999994</v>
      </c>
      <c r="L105">
        <v>111.4</v>
      </c>
      <c r="M105">
        <v>102.1</v>
      </c>
      <c r="N105">
        <v>91.1</v>
      </c>
      <c r="O105">
        <v>10</v>
      </c>
    </row>
    <row r="106" spans="1:15">
      <c r="A106">
        <v>162420</v>
      </c>
      <c r="B106" t="s">
        <v>261</v>
      </c>
      <c r="C106">
        <v>56.9</v>
      </c>
      <c r="D106">
        <v>39.1</v>
      </c>
      <c r="E106">
        <v>41.9</v>
      </c>
      <c r="F106">
        <v>49</v>
      </c>
      <c r="G106">
        <v>45</v>
      </c>
      <c r="H106">
        <v>40.4</v>
      </c>
      <c r="I106">
        <v>25.9</v>
      </c>
      <c r="J106">
        <v>54.1</v>
      </c>
      <c r="K106">
        <v>68.099999999999994</v>
      </c>
      <c r="L106">
        <v>137.9</v>
      </c>
      <c r="M106">
        <v>62.5</v>
      </c>
      <c r="N106">
        <v>71.900000000000006</v>
      </c>
      <c r="O106">
        <v>11</v>
      </c>
    </row>
    <row r="107" spans="1:15">
      <c r="A107">
        <v>162420</v>
      </c>
      <c r="B107" t="s">
        <v>262</v>
      </c>
      <c r="C107">
        <v>1018.5</v>
      </c>
      <c r="D107">
        <v>1018.5</v>
      </c>
      <c r="E107">
        <v>1016.3</v>
      </c>
      <c r="F107">
        <v>1013.1</v>
      </c>
      <c r="G107">
        <v>1014.6</v>
      </c>
      <c r="H107">
        <v>1014.9</v>
      </c>
      <c r="I107">
        <v>1014.2</v>
      </c>
      <c r="J107">
        <v>1014.2</v>
      </c>
      <c r="K107">
        <v>1014.4</v>
      </c>
      <c r="L107">
        <v>1016.4</v>
      </c>
      <c r="M107">
        <v>1015.5</v>
      </c>
      <c r="N107">
        <v>1016.1</v>
      </c>
      <c r="O107">
        <v>12</v>
      </c>
    </row>
    <row r="108" spans="1:15">
      <c r="A108">
        <v>162420</v>
      </c>
      <c r="B108" t="s">
        <v>263</v>
      </c>
      <c r="C108">
        <v>9.1999999999999993</v>
      </c>
      <c r="D108">
        <v>9.3000000000000007</v>
      </c>
      <c r="E108">
        <v>9.3000000000000007</v>
      </c>
      <c r="F108">
        <v>9.4</v>
      </c>
      <c r="G108">
        <v>9.6999999999999993</v>
      </c>
      <c r="H108">
        <v>10</v>
      </c>
      <c r="I108">
        <v>9.8000000000000007</v>
      </c>
      <c r="J108">
        <v>9.9</v>
      </c>
      <c r="K108">
        <v>10</v>
      </c>
      <c r="L108">
        <v>9.6</v>
      </c>
      <c r="M108">
        <v>9.5</v>
      </c>
      <c r="N108">
        <v>9.3000000000000007</v>
      </c>
      <c r="O108">
        <v>13</v>
      </c>
    </row>
    <row r="109" spans="1:15">
      <c r="A109">
        <v>162420</v>
      </c>
      <c r="B109" t="s">
        <v>264</v>
      </c>
      <c r="C109">
        <v>3.6</v>
      </c>
      <c r="D109">
        <v>3.7</v>
      </c>
      <c r="E109">
        <v>3.8</v>
      </c>
      <c r="F109">
        <v>3.6</v>
      </c>
      <c r="G109">
        <v>3.3</v>
      </c>
      <c r="H109">
        <v>3.4</v>
      </c>
      <c r="I109">
        <v>3.4</v>
      </c>
      <c r="J109">
        <v>3.3</v>
      </c>
      <c r="K109">
        <v>3.3</v>
      </c>
      <c r="L109">
        <v>3.3</v>
      </c>
      <c r="M109">
        <v>3.6</v>
      </c>
      <c r="N109">
        <v>3.8</v>
      </c>
      <c r="O109">
        <v>14</v>
      </c>
    </row>
    <row r="110" spans="1:15">
      <c r="A110">
        <v>162420</v>
      </c>
      <c r="B110" t="s">
        <v>160</v>
      </c>
      <c r="C110">
        <v>120.9</v>
      </c>
      <c r="D110">
        <v>132.80000000000001</v>
      </c>
      <c r="E110">
        <v>167.4</v>
      </c>
      <c r="F110">
        <v>201</v>
      </c>
      <c r="G110">
        <v>263.5</v>
      </c>
      <c r="H110">
        <v>285</v>
      </c>
      <c r="I110">
        <v>331.7</v>
      </c>
      <c r="J110">
        <v>297.60000000000002</v>
      </c>
      <c r="K110">
        <v>237</v>
      </c>
      <c r="L110">
        <v>195.3</v>
      </c>
      <c r="M110">
        <v>129</v>
      </c>
      <c r="N110">
        <v>111.6</v>
      </c>
      <c r="O110">
        <v>15</v>
      </c>
    </row>
    <row r="111" spans="1:15">
      <c r="A111">
        <v>162420</v>
      </c>
      <c r="B111" t="s">
        <v>161</v>
      </c>
      <c r="C111">
        <v>3.9000000000000004</v>
      </c>
      <c r="D111">
        <v>4.7428571428571429</v>
      </c>
      <c r="E111">
        <v>5.4</v>
      </c>
      <c r="F111">
        <v>6.7</v>
      </c>
      <c r="G111">
        <v>8.5</v>
      </c>
      <c r="H111">
        <v>9.5</v>
      </c>
      <c r="I111">
        <v>10.7</v>
      </c>
      <c r="J111">
        <v>9.6000000000000014</v>
      </c>
      <c r="K111">
        <v>7.9</v>
      </c>
      <c r="L111">
        <v>6.3000000000000007</v>
      </c>
      <c r="M111">
        <v>4.3</v>
      </c>
      <c r="N111">
        <v>3.5999999999999996</v>
      </c>
      <c r="O111">
        <v>16</v>
      </c>
    </row>
    <row r="112" spans="1:15">
      <c r="A112">
        <v>162420</v>
      </c>
      <c r="B112" t="s">
        <v>249</v>
      </c>
      <c r="C112">
        <v>8.3000000000000007</v>
      </c>
      <c r="D112">
        <v>8.5</v>
      </c>
      <c r="E112">
        <v>7.5</v>
      </c>
      <c r="F112">
        <v>7.8</v>
      </c>
      <c r="G112">
        <v>5.3</v>
      </c>
      <c r="H112">
        <v>4</v>
      </c>
      <c r="I112">
        <v>2.1</v>
      </c>
      <c r="J112">
        <v>2.6</v>
      </c>
      <c r="K112">
        <v>5.9</v>
      </c>
      <c r="L112">
        <v>7.9</v>
      </c>
      <c r="M112">
        <v>10.5</v>
      </c>
      <c r="N112">
        <v>9.6999999999999993</v>
      </c>
      <c r="O112">
        <v>17</v>
      </c>
    </row>
    <row r="113" spans="1:15">
      <c r="A113">
        <v>162420</v>
      </c>
      <c r="B113" t="s">
        <v>265</v>
      </c>
      <c r="C113">
        <v>0</v>
      </c>
      <c r="D113">
        <v>0</v>
      </c>
      <c r="E113">
        <v>0</v>
      </c>
      <c r="F113">
        <v>0</v>
      </c>
      <c r="G113">
        <v>0</v>
      </c>
      <c r="H113">
        <v>0</v>
      </c>
      <c r="I113">
        <v>0</v>
      </c>
      <c r="J113">
        <v>0</v>
      </c>
      <c r="K113">
        <v>0</v>
      </c>
      <c r="L113">
        <v>0</v>
      </c>
      <c r="M113">
        <v>0</v>
      </c>
      <c r="N113">
        <v>0</v>
      </c>
      <c r="O113">
        <v>18</v>
      </c>
    </row>
    <row r="114" spans="1:15">
      <c r="A114">
        <v>162420</v>
      </c>
      <c r="B114" t="s">
        <v>266</v>
      </c>
      <c r="C114">
        <v>0.5</v>
      </c>
      <c r="D114">
        <v>0.5</v>
      </c>
      <c r="E114">
        <v>0.5</v>
      </c>
      <c r="F114">
        <v>0.2</v>
      </c>
      <c r="G114">
        <v>0.2</v>
      </c>
      <c r="H114">
        <v>0.1</v>
      </c>
      <c r="I114">
        <v>0.1</v>
      </c>
      <c r="J114">
        <v>0.1</v>
      </c>
      <c r="K114">
        <v>0.1</v>
      </c>
      <c r="L114">
        <v>0.4</v>
      </c>
      <c r="M114">
        <v>0.5</v>
      </c>
      <c r="N114">
        <v>0.9</v>
      </c>
      <c r="O114">
        <v>19</v>
      </c>
    </row>
    <row r="115" spans="1:15">
      <c r="A115">
        <v>162420</v>
      </c>
      <c r="B115" t="s">
        <v>267</v>
      </c>
      <c r="C115">
        <v>3.6</v>
      </c>
      <c r="D115">
        <v>3.6</v>
      </c>
      <c r="E115">
        <v>4.4000000000000004</v>
      </c>
      <c r="F115">
        <v>4.2</v>
      </c>
      <c r="G115">
        <v>3.9</v>
      </c>
      <c r="H115">
        <v>2.4</v>
      </c>
      <c r="I115">
        <v>2.1</v>
      </c>
      <c r="J115">
        <v>2.2000000000000002</v>
      </c>
      <c r="K115">
        <v>1.8</v>
      </c>
      <c r="L115">
        <v>3.9</v>
      </c>
      <c r="M115">
        <v>2.5</v>
      </c>
      <c r="N115">
        <v>2.4</v>
      </c>
      <c r="O115">
        <v>20</v>
      </c>
    </row>
    <row r="116" spans="1:15">
      <c r="A116">
        <v>162420</v>
      </c>
      <c r="B116" t="s">
        <v>268</v>
      </c>
      <c r="C116">
        <v>0.1</v>
      </c>
      <c r="D116">
        <v>0.2</v>
      </c>
      <c r="E116">
        <v>0.3</v>
      </c>
      <c r="F116">
        <v>0.1</v>
      </c>
      <c r="G116">
        <v>0.1</v>
      </c>
      <c r="H116">
        <v>0.1</v>
      </c>
      <c r="I116">
        <v>0</v>
      </c>
      <c r="J116">
        <v>0.1</v>
      </c>
      <c r="K116">
        <v>0.1</v>
      </c>
      <c r="L116">
        <v>0.2</v>
      </c>
      <c r="M116">
        <v>0.2</v>
      </c>
      <c r="N116">
        <v>0.2</v>
      </c>
      <c r="O116">
        <v>21</v>
      </c>
    </row>
    <row r="117" spans="1:15">
      <c r="A117">
        <v>162420</v>
      </c>
      <c r="B117" t="s">
        <v>269</v>
      </c>
      <c r="C117">
        <v>2.1</v>
      </c>
      <c r="D117">
        <v>2.6</v>
      </c>
      <c r="E117">
        <v>2.2999999999999998</v>
      </c>
      <c r="F117">
        <v>2.7</v>
      </c>
      <c r="G117">
        <v>2.2000000000000002</v>
      </c>
      <c r="H117">
        <v>2.2999999999999998</v>
      </c>
      <c r="I117">
        <v>1.9</v>
      </c>
      <c r="J117">
        <v>2.5</v>
      </c>
      <c r="K117">
        <v>4.7</v>
      </c>
      <c r="L117">
        <v>4.5999999999999996</v>
      </c>
      <c r="M117">
        <v>5</v>
      </c>
      <c r="N117">
        <v>2.9</v>
      </c>
      <c r="O117">
        <v>22</v>
      </c>
    </row>
    <row r="118" spans="1:15">
      <c r="A118">
        <v>162420</v>
      </c>
      <c r="B118" t="s">
        <v>270</v>
      </c>
      <c r="C118">
        <v>0</v>
      </c>
      <c r="D118">
        <v>0</v>
      </c>
      <c r="E118">
        <v>0.1</v>
      </c>
      <c r="F118">
        <v>0.4</v>
      </c>
      <c r="G118">
        <v>7.7</v>
      </c>
      <c r="H118">
        <v>22.3</v>
      </c>
      <c r="I118">
        <v>30.5</v>
      </c>
      <c r="J118">
        <v>30.7</v>
      </c>
      <c r="K118">
        <v>22.5</v>
      </c>
      <c r="L118">
        <v>6.1</v>
      </c>
      <c r="M118">
        <v>0.1</v>
      </c>
      <c r="N118">
        <v>0</v>
      </c>
      <c r="O118">
        <v>23</v>
      </c>
    </row>
    <row r="119" spans="1:15">
      <c r="A119">
        <v>162420</v>
      </c>
      <c r="B119" t="s">
        <v>271</v>
      </c>
      <c r="C119">
        <v>0</v>
      </c>
      <c r="D119">
        <v>0</v>
      </c>
      <c r="E119">
        <v>0</v>
      </c>
      <c r="F119">
        <v>0</v>
      </c>
      <c r="G119">
        <v>0</v>
      </c>
      <c r="H119">
        <v>1.5</v>
      </c>
      <c r="I119">
        <v>8.8000000000000007</v>
      </c>
      <c r="J119">
        <v>10.6</v>
      </c>
      <c r="K119">
        <v>2.5</v>
      </c>
      <c r="L119">
        <v>0.3</v>
      </c>
      <c r="M119">
        <v>0</v>
      </c>
      <c r="N119">
        <v>0</v>
      </c>
      <c r="O119">
        <v>24</v>
      </c>
    </row>
    <row r="120" spans="1:15">
      <c r="A120">
        <v>162420</v>
      </c>
      <c r="B120" t="s">
        <v>272</v>
      </c>
      <c r="C120">
        <v>6.6</v>
      </c>
      <c r="D120">
        <v>5</v>
      </c>
      <c r="E120">
        <v>1.8</v>
      </c>
      <c r="F120">
        <v>0.2</v>
      </c>
      <c r="G120">
        <v>0.1</v>
      </c>
      <c r="H120">
        <v>0</v>
      </c>
      <c r="I120">
        <v>0</v>
      </c>
      <c r="J120">
        <v>0</v>
      </c>
      <c r="K120">
        <v>0</v>
      </c>
      <c r="L120">
        <v>0.1</v>
      </c>
      <c r="M120">
        <v>0.5</v>
      </c>
      <c r="N120">
        <v>3.5</v>
      </c>
      <c r="O120">
        <v>25</v>
      </c>
    </row>
    <row r="121" spans="1:15">
      <c r="A121">
        <v>162420</v>
      </c>
      <c r="B121" t="s">
        <v>240</v>
      </c>
      <c r="C121">
        <v>14.5</v>
      </c>
      <c r="D121">
        <v>13.9</v>
      </c>
      <c r="E121">
        <v>14.1</v>
      </c>
      <c r="F121">
        <v>15.5</v>
      </c>
      <c r="G121">
        <v>18.8</v>
      </c>
      <c r="H121">
        <v>22.9</v>
      </c>
      <c r="I121">
        <v>24.7</v>
      </c>
      <c r="J121">
        <v>25</v>
      </c>
      <c r="K121">
        <v>24</v>
      </c>
      <c r="L121">
        <v>21.1</v>
      </c>
      <c r="M121">
        <v>19</v>
      </c>
      <c r="N121">
        <v>16.100000000000001</v>
      </c>
      <c r="O121">
        <v>26</v>
      </c>
    </row>
    <row r="123" spans="1:15">
      <c r="A123">
        <v>430030</v>
      </c>
      <c r="B123" t="s">
        <v>252</v>
      </c>
      <c r="C123">
        <v>40</v>
      </c>
      <c r="D123">
        <v>40</v>
      </c>
      <c r="E123">
        <v>42</v>
      </c>
      <c r="F123">
        <v>41</v>
      </c>
      <c r="G123">
        <v>40</v>
      </c>
      <c r="H123">
        <v>39</v>
      </c>
      <c r="I123">
        <v>38.6</v>
      </c>
      <c r="J123">
        <v>33.6</v>
      </c>
      <c r="K123">
        <v>37.4</v>
      </c>
      <c r="L123">
        <v>39</v>
      </c>
      <c r="M123">
        <v>38.799999999999997</v>
      </c>
      <c r="N123">
        <v>37.700000000000003</v>
      </c>
      <c r="O123">
        <v>1</v>
      </c>
    </row>
    <row r="124" spans="1:15">
      <c r="A124">
        <v>430030</v>
      </c>
      <c r="B124" t="s">
        <v>253</v>
      </c>
      <c r="C124">
        <v>31.1</v>
      </c>
      <c r="D124">
        <v>31.6</v>
      </c>
      <c r="E124">
        <v>33.1</v>
      </c>
      <c r="F124">
        <v>33.299999999999997</v>
      </c>
      <c r="G124">
        <v>33.700000000000003</v>
      </c>
      <c r="H124">
        <v>32.4</v>
      </c>
      <c r="I124">
        <v>30.4</v>
      </c>
      <c r="J124">
        <v>30.1</v>
      </c>
      <c r="K124">
        <v>30.9</v>
      </c>
      <c r="L124">
        <v>33.6</v>
      </c>
      <c r="M124">
        <v>33.9</v>
      </c>
      <c r="N124">
        <v>32.4</v>
      </c>
      <c r="O124">
        <v>2</v>
      </c>
    </row>
    <row r="125" spans="1:15">
      <c r="A125">
        <v>430030</v>
      </c>
      <c r="B125" t="s">
        <v>254</v>
      </c>
      <c r="C125">
        <v>24.3</v>
      </c>
      <c r="D125">
        <v>25.3</v>
      </c>
      <c r="E125">
        <v>27.5</v>
      </c>
      <c r="F125">
        <v>28.9</v>
      </c>
      <c r="G125">
        <v>30.1</v>
      </c>
      <c r="H125">
        <v>29.3</v>
      </c>
      <c r="I125">
        <v>27.9</v>
      </c>
      <c r="J125">
        <v>27.6</v>
      </c>
      <c r="K125">
        <v>27.8</v>
      </c>
      <c r="L125">
        <v>28.7</v>
      </c>
      <c r="M125">
        <v>27.7</v>
      </c>
      <c r="N125">
        <v>25.6</v>
      </c>
      <c r="O125">
        <v>3</v>
      </c>
    </row>
    <row r="126" spans="1:15">
      <c r="A126">
        <v>430030</v>
      </c>
      <c r="B126" t="s">
        <v>255</v>
      </c>
      <c r="C126">
        <v>17</v>
      </c>
      <c r="D126">
        <v>18.100000000000001</v>
      </c>
      <c r="E126">
        <v>21.1</v>
      </c>
      <c r="F126">
        <v>24.1</v>
      </c>
      <c r="G126">
        <v>26.7</v>
      </c>
      <c r="H126">
        <v>26.4</v>
      </c>
      <c r="I126">
        <v>25.3</v>
      </c>
      <c r="J126">
        <v>25.1</v>
      </c>
      <c r="K126">
        <v>24.7</v>
      </c>
      <c r="L126">
        <v>23.8</v>
      </c>
      <c r="M126">
        <v>21.2</v>
      </c>
      <c r="N126">
        <v>18.399999999999999</v>
      </c>
      <c r="O126">
        <v>4</v>
      </c>
    </row>
    <row r="127" spans="1:15">
      <c r="A127">
        <v>430030</v>
      </c>
      <c r="B127" t="s">
        <v>256</v>
      </c>
      <c r="C127">
        <v>10</v>
      </c>
      <c r="D127">
        <v>8.5</v>
      </c>
      <c r="E127">
        <v>12.7</v>
      </c>
      <c r="F127">
        <v>12.2</v>
      </c>
      <c r="G127">
        <v>20.399999999999999</v>
      </c>
      <c r="H127">
        <v>20</v>
      </c>
      <c r="I127">
        <v>13</v>
      </c>
      <c r="J127">
        <v>20.399999999999999</v>
      </c>
      <c r="K127">
        <v>20</v>
      </c>
      <c r="L127">
        <v>15</v>
      </c>
      <c r="M127">
        <v>10.9</v>
      </c>
      <c r="N127">
        <v>10.1</v>
      </c>
      <c r="O127">
        <v>5</v>
      </c>
    </row>
    <row r="128" spans="1:15">
      <c r="A128">
        <v>430030</v>
      </c>
      <c r="B128" t="s">
        <v>257</v>
      </c>
      <c r="C128">
        <v>14.7</v>
      </c>
      <c r="D128">
        <v>15.3</v>
      </c>
      <c r="E128">
        <v>18.3</v>
      </c>
      <c r="F128">
        <v>21.7</v>
      </c>
      <c r="G128">
        <v>23.7</v>
      </c>
      <c r="H128">
        <v>24.7</v>
      </c>
      <c r="I128">
        <v>24.7</v>
      </c>
      <c r="J128">
        <v>24.3</v>
      </c>
      <c r="K128">
        <v>24.1</v>
      </c>
      <c r="L128">
        <v>21.9</v>
      </c>
      <c r="M128">
        <v>18.100000000000001</v>
      </c>
      <c r="N128">
        <v>15.6</v>
      </c>
      <c r="O128">
        <v>6</v>
      </c>
    </row>
    <row r="129" spans="1:15">
      <c r="A129">
        <v>430030</v>
      </c>
      <c r="B129" t="s">
        <v>159</v>
      </c>
      <c r="C129">
        <v>55.8</v>
      </c>
      <c r="D129">
        <v>55.1</v>
      </c>
      <c r="E129">
        <v>58.9</v>
      </c>
      <c r="F129">
        <v>66</v>
      </c>
      <c r="G129">
        <v>69.099999999999994</v>
      </c>
      <c r="H129">
        <v>77.099999999999994</v>
      </c>
      <c r="I129">
        <v>83.2</v>
      </c>
      <c r="J129">
        <v>82.7</v>
      </c>
      <c r="K129">
        <v>80.599999999999994</v>
      </c>
      <c r="L129">
        <v>68</v>
      </c>
      <c r="M129">
        <v>57</v>
      </c>
      <c r="N129">
        <v>54.8</v>
      </c>
      <c r="O129">
        <v>7</v>
      </c>
    </row>
    <row r="130" spans="1:15">
      <c r="A130">
        <v>430030</v>
      </c>
      <c r="B130" t="s">
        <v>258</v>
      </c>
      <c r="C130">
        <v>37.700000000000003</v>
      </c>
      <c r="D130">
        <v>38.6</v>
      </c>
      <c r="E130">
        <v>43.5</v>
      </c>
      <c r="F130">
        <v>51.6</v>
      </c>
      <c r="G130">
        <v>56.5</v>
      </c>
      <c r="H130">
        <v>64.8</v>
      </c>
      <c r="I130">
        <v>72.400000000000006</v>
      </c>
      <c r="J130">
        <v>71.7</v>
      </c>
      <c r="K130">
        <v>67.3</v>
      </c>
      <c r="L130">
        <v>52.2</v>
      </c>
      <c r="M130">
        <v>40.4</v>
      </c>
      <c r="N130">
        <v>37.200000000000003</v>
      </c>
      <c r="O130">
        <v>8</v>
      </c>
    </row>
    <row r="131" spans="1:15">
      <c r="A131">
        <v>430030</v>
      </c>
      <c r="B131" t="s">
        <v>259</v>
      </c>
      <c r="C131">
        <v>16.899999999999999</v>
      </c>
      <c r="D131">
        <v>17.7</v>
      </c>
      <c r="E131">
        <v>21.5</v>
      </c>
      <c r="F131">
        <v>26.2</v>
      </c>
      <c r="G131">
        <v>29.5</v>
      </c>
      <c r="H131">
        <v>31.2</v>
      </c>
      <c r="I131">
        <v>31.3</v>
      </c>
      <c r="J131">
        <v>30.5</v>
      </c>
      <c r="K131">
        <v>30</v>
      </c>
      <c r="L131">
        <v>26.7</v>
      </c>
      <c r="M131">
        <v>21.2</v>
      </c>
      <c r="N131">
        <v>18</v>
      </c>
      <c r="O131">
        <v>9</v>
      </c>
    </row>
    <row r="132" spans="1:15">
      <c r="A132">
        <v>430030</v>
      </c>
      <c r="B132" t="s">
        <v>260</v>
      </c>
      <c r="C132">
        <v>0.7</v>
      </c>
      <c r="D132">
        <v>0.4</v>
      </c>
      <c r="E132">
        <v>3.8</v>
      </c>
      <c r="F132">
        <v>3.8</v>
      </c>
      <c r="G132">
        <v>23.6</v>
      </c>
      <c r="H132">
        <v>507.2</v>
      </c>
      <c r="I132">
        <v>808.4</v>
      </c>
      <c r="J132">
        <v>510.6</v>
      </c>
      <c r="K132">
        <v>364.4</v>
      </c>
      <c r="L132">
        <v>87.5</v>
      </c>
      <c r="M132">
        <v>13.3</v>
      </c>
      <c r="N132">
        <v>10.5</v>
      </c>
      <c r="O132">
        <v>10</v>
      </c>
    </row>
    <row r="133" spans="1:15">
      <c r="A133">
        <v>430030</v>
      </c>
      <c r="B133" t="s">
        <v>261</v>
      </c>
      <c r="C133">
        <v>1.3</v>
      </c>
      <c r="D133">
        <v>2.8</v>
      </c>
      <c r="E133">
        <v>7.1</v>
      </c>
      <c r="F133">
        <v>2</v>
      </c>
      <c r="G133">
        <v>55.1</v>
      </c>
      <c r="H133">
        <v>283</v>
      </c>
      <c r="I133">
        <v>274.10000000000002</v>
      </c>
      <c r="J133">
        <v>215.4</v>
      </c>
      <c r="K133">
        <v>242.1</v>
      </c>
      <c r="L133">
        <v>111</v>
      </c>
      <c r="M133">
        <v>35.1</v>
      </c>
      <c r="N133">
        <v>22.1</v>
      </c>
      <c r="O133">
        <v>11</v>
      </c>
    </row>
    <row r="134" spans="1:15">
      <c r="A134">
        <v>430030</v>
      </c>
      <c r="B134" t="s">
        <v>262</v>
      </c>
      <c r="C134">
        <v>1013.3</v>
      </c>
      <c r="D134">
        <v>1012.3</v>
      </c>
      <c r="E134">
        <v>1010.6</v>
      </c>
      <c r="F134">
        <v>1008.8</v>
      </c>
      <c r="G134">
        <v>1007.1</v>
      </c>
      <c r="H134">
        <v>1004</v>
      </c>
      <c r="I134">
        <v>1004.2</v>
      </c>
      <c r="J134">
        <v>1005.6</v>
      </c>
      <c r="K134">
        <v>1007.8</v>
      </c>
      <c r="L134">
        <v>1009.6</v>
      </c>
      <c r="M134">
        <v>1011.7</v>
      </c>
      <c r="N134">
        <v>1013.4</v>
      </c>
      <c r="O134">
        <v>12</v>
      </c>
    </row>
    <row r="135" spans="1:15">
      <c r="A135">
        <v>430030</v>
      </c>
      <c r="B135" t="s">
        <v>263</v>
      </c>
      <c r="C135">
        <v>3</v>
      </c>
      <c r="D135">
        <v>3.4</v>
      </c>
      <c r="E135">
        <v>3.8</v>
      </c>
      <c r="F135">
        <v>4.3</v>
      </c>
      <c r="G135">
        <v>5.0999999999999996</v>
      </c>
      <c r="H135">
        <v>4.2</v>
      </c>
      <c r="I135">
        <v>3.5</v>
      </c>
      <c r="J135">
        <v>3.5</v>
      </c>
      <c r="K135">
        <v>3.9</v>
      </c>
      <c r="L135">
        <v>3.7</v>
      </c>
      <c r="M135">
        <v>3.5</v>
      </c>
      <c r="N135">
        <v>3.1</v>
      </c>
      <c r="O135">
        <v>13</v>
      </c>
    </row>
    <row r="136" spans="1:15">
      <c r="A136">
        <v>430030</v>
      </c>
      <c r="B136" t="s">
        <v>264</v>
      </c>
      <c r="C136">
        <v>1.7</v>
      </c>
      <c r="D136">
        <v>2</v>
      </c>
      <c r="E136">
        <v>2.2000000000000002</v>
      </c>
      <c r="F136">
        <v>2.4</v>
      </c>
      <c r="G136">
        <v>2.9</v>
      </c>
      <c r="H136">
        <v>3.4</v>
      </c>
      <c r="I136">
        <v>3.9</v>
      </c>
      <c r="J136">
        <v>3.5</v>
      </c>
      <c r="K136">
        <v>2.2000000000000002</v>
      </c>
      <c r="L136">
        <v>1.7</v>
      </c>
      <c r="M136">
        <v>1.8</v>
      </c>
      <c r="N136">
        <v>1.7</v>
      </c>
      <c r="O136">
        <v>14</v>
      </c>
    </row>
    <row r="137" spans="1:15">
      <c r="A137">
        <v>430030</v>
      </c>
      <c r="B137" t="s">
        <v>160</v>
      </c>
      <c r="C137" s="365">
        <v>269.5</v>
      </c>
      <c r="D137" s="365">
        <v>257.60000000000002</v>
      </c>
      <c r="E137" s="365">
        <v>274.3</v>
      </c>
      <c r="F137" s="365">
        <v>283.7</v>
      </c>
      <c r="G137" s="365">
        <v>296.2</v>
      </c>
      <c r="H137" s="365">
        <v>148.6</v>
      </c>
      <c r="I137" s="365">
        <v>73.400000000000006</v>
      </c>
      <c r="J137" s="365">
        <v>75.900000000000006</v>
      </c>
      <c r="K137" s="365">
        <v>165.1</v>
      </c>
      <c r="L137" s="365">
        <v>240.2</v>
      </c>
      <c r="M137" s="365">
        <v>245.8</v>
      </c>
      <c r="N137" s="365">
        <v>253.2</v>
      </c>
      <c r="O137">
        <v>15</v>
      </c>
    </row>
    <row r="138" spans="1:15">
      <c r="A138">
        <v>430030</v>
      </c>
      <c r="B138" t="s">
        <v>161</v>
      </c>
      <c r="C138" s="365">
        <v>8.693548387096774</v>
      </c>
      <c r="D138" s="365">
        <v>9.2000000000000011</v>
      </c>
      <c r="E138" s="365">
        <v>8.8483870967741947</v>
      </c>
      <c r="F138" s="365">
        <v>9.456666666666667</v>
      </c>
      <c r="G138" s="365">
        <v>9.5548387096774192</v>
      </c>
      <c r="H138" s="365">
        <v>4.9533333333333331</v>
      </c>
      <c r="I138" s="365">
        <v>2.3677419354838714</v>
      </c>
      <c r="J138" s="365">
        <v>2.4483870967741939</v>
      </c>
      <c r="K138" s="365">
        <v>5.503333333333333</v>
      </c>
      <c r="L138" s="365">
        <v>7.7483870967741932</v>
      </c>
      <c r="M138" s="365">
        <v>8.1933333333333334</v>
      </c>
      <c r="N138" s="365">
        <v>8.1677419354838712</v>
      </c>
      <c r="O138">
        <v>16</v>
      </c>
    </row>
    <row r="139" spans="1:15">
      <c r="A139">
        <v>430030</v>
      </c>
      <c r="B139" t="s">
        <v>249</v>
      </c>
      <c r="C139">
        <v>0.2</v>
      </c>
      <c r="D139">
        <v>0.1</v>
      </c>
      <c r="E139">
        <v>0.3</v>
      </c>
      <c r="F139">
        <v>0.2</v>
      </c>
      <c r="G139">
        <v>1.3</v>
      </c>
      <c r="H139">
        <v>17.899999999999999</v>
      </c>
      <c r="I139">
        <v>26.9</v>
      </c>
      <c r="J139">
        <v>27.2</v>
      </c>
      <c r="K139">
        <v>19.5</v>
      </c>
      <c r="L139">
        <v>5.7</v>
      </c>
      <c r="M139">
        <v>1.3</v>
      </c>
      <c r="N139">
        <v>0.4</v>
      </c>
      <c r="O139">
        <v>17</v>
      </c>
    </row>
    <row r="140" spans="1:15">
      <c r="A140">
        <v>430030</v>
      </c>
      <c r="B140" t="s">
        <v>265</v>
      </c>
      <c r="C140">
        <v>0</v>
      </c>
      <c r="D140">
        <v>0</v>
      </c>
      <c r="E140">
        <v>0</v>
      </c>
      <c r="F140">
        <v>0</v>
      </c>
      <c r="G140">
        <v>0</v>
      </c>
      <c r="H140">
        <v>0</v>
      </c>
      <c r="I140">
        <v>0</v>
      </c>
      <c r="J140">
        <v>0</v>
      </c>
      <c r="K140">
        <v>0</v>
      </c>
      <c r="L140">
        <v>0</v>
      </c>
      <c r="M140">
        <v>0</v>
      </c>
      <c r="N140">
        <v>0</v>
      </c>
      <c r="O140">
        <v>18</v>
      </c>
    </row>
    <row r="141" spans="1:15">
      <c r="A141">
        <v>430030</v>
      </c>
      <c r="B141" t="s">
        <v>266</v>
      </c>
      <c r="C141">
        <v>0</v>
      </c>
      <c r="D141">
        <v>0.1</v>
      </c>
      <c r="E141">
        <v>0</v>
      </c>
      <c r="F141">
        <v>0.1</v>
      </c>
      <c r="G141">
        <v>0</v>
      </c>
      <c r="H141">
        <v>0.1</v>
      </c>
      <c r="I141">
        <v>0</v>
      </c>
      <c r="J141">
        <v>0.2</v>
      </c>
      <c r="K141">
        <v>0.2</v>
      </c>
      <c r="L141">
        <v>0.1</v>
      </c>
      <c r="M141">
        <v>0.3</v>
      </c>
      <c r="N141">
        <v>0.2</v>
      </c>
      <c r="O141">
        <v>19</v>
      </c>
    </row>
    <row r="142" spans="1:15">
      <c r="A142">
        <v>430030</v>
      </c>
      <c r="B142" t="s">
        <v>267</v>
      </c>
      <c r="C142">
        <v>0.2</v>
      </c>
      <c r="D142">
        <v>0.3</v>
      </c>
      <c r="E142">
        <v>0.2</v>
      </c>
      <c r="F142">
        <v>0</v>
      </c>
      <c r="G142">
        <v>0</v>
      </c>
      <c r="H142">
        <v>0</v>
      </c>
      <c r="I142">
        <v>0</v>
      </c>
      <c r="J142">
        <v>0.1</v>
      </c>
      <c r="K142">
        <v>0.1</v>
      </c>
      <c r="L142">
        <v>0.1</v>
      </c>
      <c r="M142">
        <v>0.1</v>
      </c>
      <c r="N142">
        <v>0.3</v>
      </c>
      <c r="O142">
        <v>20</v>
      </c>
    </row>
    <row r="143" spans="1:15">
      <c r="A143">
        <v>430030</v>
      </c>
      <c r="B143" t="s">
        <v>268</v>
      </c>
      <c r="C143">
        <v>0</v>
      </c>
      <c r="D143">
        <v>0</v>
      </c>
      <c r="E143">
        <v>0</v>
      </c>
      <c r="F143">
        <v>0</v>
      </c>
      <c r="G143">
        <v>0.1</v>
      </c>
      <c r="H143">
        <v>0.3</v>
      </c>
      <c r="I143">
        <v>0</v>
      </c>
      <c r="J143">
        <v>0.1</v>
      </c>
      <c r="K143">
        <v>0.2</v>
      </c>
      <c r="L143">
        <v>0.1</v>
      </c>
      <c r="M143">
        <v>0</v>
      </c>
      <c r="N143">
        <v>0</v>
      </c>
      <c r="O143">
        <v>21</v>
      </c>
    </row>
    <row r="144" spans="1:15">
      <c r="A144">
        <v>430030</v>
      </c>
      <c r="B144" t="s">
        <v>269</v>
      </c>
      <c r="C144">
        <v>0</v>
      </c>
      <c r="D144">
        <v>0</v>
      </c>
      <c r="E144">
        <v>0.2</v>
      </c>
      <c r="F144">
        <v>0.1</v>
      </c>
      <c r="G144">
        <v>0.5</v>
      </c>
      <c r="H144">
        <v>5.5</v>
      </c>
      <c r="I144">
        <v>2.5</v>
      </c>
      <c r="J144">
        <v>1.3</v>
      </c>
      <c r="K144">
        <v>5.3</v>
      </c>
      <c r="L144">
        <v>3.9</v>
      </c>
      <c r="M144">
        <v>0.7</v>
      </c>
      <c r="N144">
        <v>0.1</v>
      </c>
      <c r="O144">
        <v>22</v>
      </c>
    </row>
    <row r="145" spans="1:15">
      <c r="A145">
        <v>430030</v>
      </c>
      <c r="B145" t="s">
        <v>270</v>
      </c>
      <c r="C145">
        <v>31</v>
      </c>
      <c r="D145">
        <v>27.8</v>
      </c>
      <c r="E145">
        <v>31</v>
      </c>
      <c r="F145">
        <v>0</v>
      </c>
      <c r="G145">
        <v>0</v>
      </c>
      <c r="H145">
        <v>0</v>
      </c>
      <c r="I145">
        <v>0</v>
      </c>
      <c r="J145">
        <v>31</v>
      </c>
      <c r="K145">
        <v>30</v>
      </c>
      <c r="L145">
        <v>0</v>
      </c>
      <c r="M145">
        <v>0</v>
      </c>
      <c r="N145">
        <v>30.9</v>
      </c>
      <c r="O145">
        <v>23</v>
      </c>
    </row>
    <row r="146" spans="1:15">
      <c r="A146">
        <v>430030</v>
      </c>
      <c r="B146" t="s">
        <v>271</v>
      </c>
      <c r="C146">
        <v>3.3</v>
      </c>
      <c r="D146">
        <v>6</v>
      </c>
      <c r="E146">
        <v>22.6</v>
      </c>
      <c r="F146">
        <v>29.7</v>
      </c>
      <c r="G146">
        <v>31</v>
      </c>
      <c r="H146">
        <v>30</v>
      </c>
      <c r="I146">
        <v>30.9</v>
      </c>
      <c r="J146">
        <v>31</v>
      </c>
      <c r="K146">
        <v>30</v>
      </c>
      <c r="L146">
        <v>30.3</v>
      </c>
      <c r="M146">
        <v>21</v>
      </c>
      <c r="N146">
        <v>8.1999999999999993</v>
      </c>
      <c r="O146">
        <v>24</v>
      </c>
    </row>
    <row r="147" spans="1:15">
      <c r="A147">
        <v>430030</v>
      </c>
      <c r="B147" t="s">
        <v>272</v>
      </c>
      <c r="C147">
        <v>0</v>
      </c>
      <c r="D147">
        <v>0</v>
      </c>
      <c r="E147">
        <v>0</v>
      </c>
      <c r="F147">
        <v>0</v>
      </c>
      <c r="G147">
        <v>0</v>
      </c>
      <c r="H147">
        <v>0</v>
      </c>
      <c r="I147">
        <v>0</v>
      </c>
      <c r="J147">
        <v>0</v>
      </c>
      <c r="K147">
        <v>0</v>
      </c>
      <c r="L147">
        <v>0</v>
      </c>
      <c r="M147">
        <v>0</v>
      </c>
      <c r="N147">
        <v>0</v>
      </c>
      <c r="O147">
        <v>25</v>
      </c>
    </row>
    <row r="148" spans="1:15">
      <c r="A148">
        <v>430030</v>
      </c>
      <c r="B148" t="s">
        <v>240</v>
      </c>
      <c r="C148">
        <v>25.2</v>
      </c>
      <c r="D148">
        <v>24.9</v>
      </c>
      <c r="E148">
        <v>26.3</v>
      </c>
      <c r="F148">
        <v>28.2</v>
      </c>
      <c r="G148">
        <v>29.4</v>
      </c>
      <c r="H148">
        <v>30</v>
      </c>
      <c r="I148">
        <v>28.8</v>
      </c>
      <c r="J148">
        <v>28.2</v>
      </c>
      <c r="K148">
        <v>28.7</v>
      </c>
      <c r="L148">
        <v>28.8</v>
      </c>
      <c r="M148">
        <v>28</v>
      </c>
      <c r="N148">
        <v>27</v>
      </c>
      <c r="O148">
        <v>26</v>
      </c>
    </row>
    <row r="150" spans="1:15">
      <c r="A150">
        <v>637400</v>
      </c>
      <c r="B150" t="s">
        <v>252</v>
      </c>
      <c r="C150">
        <v>31.6</v>
      </c>
      <c r="D150">
        <v>38.200000000000003</v>
      </c>
      <c r="E150">
        <v>33</v>
      </c>
      <c r="F150">
        <v>32.1</v>
      </c>
      <c r="G150">
        <v>32.6</v>
      </c>
      <c r="H150">
        <v>32.200000000000003</v>
      </c>
      <c r="I150">
        <v>29.3</v>
      </c>
      <c r="J150">
        <v>33</v>
      </c>
      <c r="K150">
        <v>31.6</v>
      </c>
      <c r="L150">
        <v>37</v>
      </c>
      <c r="M150">
        <v>30</v>
      </c>
      <c r="N150">
        <v>32</v>
      </c>
      <c r="O150">
        <v>1</v>
      </c>
    </row>
    <row r="151" spans="1:15">
      <c r="A151">
        <v>637400</v>
      </c>
      <c r="B151" t="s">
        <v>253</v>
      </c>
      <c r="C151">
        <v>26.9</v>
      </c>
      <c r="D151">
        <v>28.3</v>
      </c>
      <c r="E151">
        <v>28</v>
      </c>
      <c r="F151">
        <v>26</v>
      </c>
      <c r="G151">
        <v>24.7</v>
      </c>
      <c r="H151">
        <v>23.8</v>
      </c>
      <c r="I151">
        <v>23.2</v>
      </c>
      <c r="J151">
        <v>23.8</v>
      </c>
      <c r="K151">
        <v>26</v>
      </c>
      <c r="L151">
        <v>26.8</v>
      </c>
      <c r="M151">
        <v>25.2</v>
      </c>
      <c r="N151">
        <v>25.5</v>
      </c>
      <c r="O151">
        <v>2</v>
      </c>
    </row>
    <row r="152" spans="1:15">
      <c r="A152">
        <v>637400</v>
      </c>
      <c r="B152" t="s">
        <v>254</v>
      </c>
      <c r="C152">
        <v>20</v>
      </c>
      <c r="D152">
        <v>20.8</v>
      </c>
      <c r="E152">
        <v>21</v>
      </c>
      <c r="F152">
        <v>20</v>
      </c>
      <c r="G152">
        <v>19</v>
      </c>
      <c r="H152">
        <v>17.899999999999999</v>
      </c>
      <c r="I152">
        <v>17.100000000000001</v>
      </c>
      <c r="J152">
        <v>17.5</v>
      </c>
      <c r="K152">
        <v>18.8</v>
      </c>
      <c r="L152">
        <v>19.8</v>
      </c>
      <c r="M152">
        <v>19.2</v>
      </c>
      <c r="N152">
        <v>19.3</v>
      </c>
      <c r="O152">
        <v>3</v>
      </c>
    </row>
    <row r="153" spans="1:15">
      <c r="A153">
        <v>637400</v>
      </c>
      <c r="B153" t="s">
        <v>255</v>
      </c>
      <c r="C153">
        <v>13.6</v>
      </c>
      <c r="D153">
        <v>13.6</v>
      </c>
      <c r="E153">
        <v>14.7</v>
      </c>
      <c r="F153">
        <v>15.2</v>
      </c>
      <c r="G153">
        <v>14.5</v>
      </c>
      <c r="H153">
        <v>12.7</v>
      </c>
      <c r="I153">
        <v>11.6</v>
      </c>
      <c r="J153">
        <v>11.9</v>
      </c>
      <c r="K153">
        <v>12.4</v>
      </c>
      <c r="L153">
        <v>14</v>
      </c>
      <c r="M153">
        <v>14.8</v>
      </c>
      <c r="N153">
        <v>14.3</v>
      </c>
      <c r="O153">
        <v>4</v>
      </c>
    </row>
    <row r="154" spans="1:15">
      <c r="A154">
        <v>637400</v>
      </c>
      <c r="B154" t="s">
        <v>256</v>
      </c>
      <c r="C154">
        <v>5.6</v>
      </c>
      <c r="D154">
        <v>0</v>
      </c>
      <c r="E154">
        <v>7.9</v>
      </c>
      <c r="F154">
        <v>8.6999999999999993</v>
      </c>
      <c r="G154">
        <v>1</v>
      </c>
      <c r="H154">
        <v>2.2999999999999998</v>
      </c>
      <c r="I154">
        <v>5</v>
      </c>
      <c r="J154">
        <v>0</v>
      </c>
      <c r="K154">
        <v>1.8</v>
      </c>
      <c r="L154">
        <v>7.2</v>
      </c>
      <c r="M154">
        <v>7</v>
      </c>
      <c r="N154">
        <v>2</v>
      </c>
      <c r="O154">
        <v>5</v>
      </c>
    </row>
    <row r="155" spans="1:15">
      <c r="A155">
        <v>637400</v>
      </c>
      <c r="B155" t="s">
        <v>257</v>
      </c>
      <c r="C155">
        <v>12.7</v>
      </c>
      <c r="D155">
        <v>11.8</v>
      </c>
      <c r="E155">
        <v>13.3</v>
      </c>
      <c r="F155">
        <v>15.1</v>
      </c>
      <c r="G155">
        <v>14.7</v>
      </c>
      <c r="H155">
        <v>12.9</v>
      </c>
      <c r="I155">
        <v>11.6</v>
      </c>
      <c r="J155">
        <v>11.4</v>
      </c>
      <c r="K155">
        <v>11.5</v>
      </c>
      <c r="L155">
        <v>12.6</v>
      </c>
      <c r="M155">
        <v>14.5</v>
      </c>
      <c r="N155">
        <v>14</v>
      </c>
      <c r="O155">
        <v>6</v>
      </c>
    </row>
    <row r="156" spans="1:15">
      <c r="A156">
        <v>637400</v>
      </c>
      <c r="B156" t="s">
        <v>159</v>
      </c>
      <c r="C156">
        <v>63.5</v>
      </c>
      <c r="D156">
        <v>57.6</v>
      </c>
      <c r="E156">
        <v>62.5</v>
      </c>
      <c r="F156">
        <v>74</v>
      </c>
      <c r="G156">
        <v>76.3</v>
      </c>
      <c r="H156">
        <v>73.099999999999994</v>
      </c>
      <c r="I156">
        <v>70.2</v>
      </c>
      <c r="J156">
        <v>68.099999999999994</v>
      </c>
      <c r="K156">
        <v>63</v>
      </c>
      <c r="L156">
        <v>64</v>
      </c>
      <c r="M156">
        <v>74.900000000000006</v>
      </c>
      <c r="N156">
        <v>72.099999999999994</v>
      </c>
      <c r="O156">
        <v>7</v>
      </c>
    </row>
    <row r="157" spans="1:15">
      <c r="A157">
        <v>637400</v>
      </c>
      <c r="B157" t="s">
        <v>258</v>
      </c>
      <c r="C157">
        <v>42.4</v>
      </c>
      <c r="D157">
        <v>37.200000000000003</v>
      </c>
      <c r="E157">
        <v>41.4</v>
      </c>
      <c r="F157">
        <v>51.6</v>
      </c>
      <c r="G157">
        <v>54.4</v>
      </c>
      <c r="H157">
        <v>51.4</v>
      </c>
      <c r="I157">
        <v>49</v>
      </c>
      <c r="J157">
        <v>47</v>
      </c>
      <c r="K157">
        <v>41</v>
      </c>
      <c r="L157">
        <v>42.3</v>
      </c>
      <c r="M157">
        <v>52.6</v>
      </c>
      <c r="N157">
        <v>49.9</v>
      </c>
      <c r="O157">
        <v>8</v>
      </c>
    </row>
    <row r="158" spans="1:15">
      <c r="A158">
        <v>637400</v>
      </c>
      <c r="B158" t="s">
        <v>259</v>
      </c>
      <c r="C158">
        <v>14.8</v>
      </c>
      <c r="D158">
        <v>14.1</v>
      </c>
      <c r="E158">
        <v>15.4</v>
      </c>
      <c r="F158">
        <v>17.2</v>
      </c>
      <c r="G158">
        <v>16.8</v>
      </c>
      <c r="H158">
        <v>15</v>
      </c>
      <c r="I158">
        <v>13.7</v>
      </c>
      <c r="J158">
        <v>13.6</v>
      </c>
      <c r="K158">
        <v>13.6</v>
      </c>
      <c r="L158">
        <v>14.7</v>
      </c>
      <c r="M158">
        <v>16.600000000000001</v>
      </c>
      <c r="N158">
        <v>16.100000000000001</v>
      </c>
      <c r="O158">
        <v>9</v>
      </c>
    </row>
    <row r="159" spans="1:15">
      <c r="A159">
        <v>637400</v>
      </c>
      <c r="B159" t="s">
        <v>260</v>
      </c>
      <c r="C159">
        <v>48.9</v>
      </c>
      <c r="D159">
        <v>49.1</v>
      </c>
      <c r="E159">
        <v>75</v>
      </c>
      <c r="F159">
        <v>123.1</v>
      </c>
      <c r="G159">
        <v>103</v>
      </c>
      <c r="H159">
        <v>25.8</v>
      </c>
      <c r="I159">
        <v>13.4</v>
      </c>
      <c r="J159">
        <v>29.6</v>
      </c>
      <c r="K159">
        <v>19.899999999999999</v>
      </c>
      <c r="L159">
        <v>42.9</v>
      </c>
      <c r="M159">
        <v>114.3</v>
      </c>
      <c r="N159">
        <v>78.099999999999994</v>
      </c>
      <c r="O159">
        <v>10</v>
      </c>
    </row>
    <row r="160" spans="1:15">
      <c r="A160">
        <v>637400</v>
      </c>
      <c r="B160" t="s">
        <v>261</v>
      </c>
      <c r="C160">
        <v>79</v>
      </c>
      <c r="D160">
        <v>182.4</v>
      </c>
      <c r="E160">
        <v>73.900000000000006</v>
      </c>
      <c r="F160">
        <v>73.900000000000006</v>
      </c>
      <c r="G160">
        <v>101.1</v>
      </c>
      <c r="H160">
        <v>33</v>
      </c>
      <c r="I160">
        <v>29</v>
      </c>
      <c r="J160">
        <v>95</v>
      </c>
      <c r="K160">
        <v>36.1</v>
      </c>
      <c r="L160">
        <v>35.1</v>
      </c>
      <c r="M160">
        <v>63</v>
      </c>
      <c r="N160">
        <v>79</v>
      </c>
      <c r="O160">
        <v>11</v>
      </c>
    </row>
    <row r="161" spans="1:15">
      <c r="A161">
        <v>637400</v>
      </c>
      <c r="B161" t="s">
        <v>262</v>
      </c>
      <c r="O161">
        <v>12</v>
      </c>
    </row>
    <row r="162" spans="1:15">
      <c r="A162">
        <v>637400</v>
      </c>
      <c r="B162" t="s">
        <v>263</v>
      </c>
      <c r="C162">
        <v>18.5</v>
      </c>
      <c r="D162">
        <v>18.7</v>
      </c>
      <c r="E162">
        <v>19</v>
      </c>
      <c r="F162">
        <v>17.899999999999999</v>
      </c>
      <c r="G162">
        <v>18.3</v>
      </c>
      <c r="H162">
        <v>18.100000000000001</v>
      </c>
      <c r="I162">
        <v>17.8</v>
      </c>
      <c r="J162">
        <v>17.899999999999999</v>
      </c>
      <c r="K162">
        <v>18.7</v>
      </c>
      <c r="L162">
        <v>18.8</v>
      </c>
      <c r="M162">
        <v>17.7</v>
      </c>
      <c r="N162">
        <v>17.5</v>
      </c>
      <c r="O162">
        <v>13</v>
      </c>
    </row>
    <row r="163" spans="1:15">
      <c r="A163">
        <v>637400</v>
      </c>
      <c r="B163" t="s">
        <v>264</v>
      </c>
      <c r="C163">
        <v>4.2</v>
      </c>
      <c r="D163">
        <v>4.3</v>
      </c>
      <c r="E163">
        <v>4.3</v>
      </c>
      <c r="F163">
        <v>3.4</v>
      </c>
      <c r="G163">
        <v>2.7</v>
      </c>
      <c r="H163">
        <v>2.6</v>
      </c>
      <c r="I163">
        <v>2.6</v>
      </c>
      <c r="J163">
        <v>2.7</v>
      </c>
      <c r="K163">
        <v>3.1</v>
      </c>
      <c r="L163">
        <v>3.8</v>
      </c>
      <c r="M163">
        <v>4</v>
      </c>
      <c r="N163">
        <v>4.2</v>
      </c>
      <c r="O163">
        <v>14</v>
      </c>
    </row>
    <row r="164" spans="1:15">
      <c r="A164">
        <v>637400</v>
      </c>
      <c r="B164" t="s">
        <v>160</v>
      </c>
      <c r="C164">
        <v>282.10000000000002</v>
      </c>
      <c r="D164">
        <v>265.60000000000002</v>
      </c>
      <c r="E164">
        <v>263.5</v>
      </c>
      <c r="F164">
        <v>204</v>
      </c>
      <c r="G164">
        <v>179.8</v>
      </c>
      <c r="H164">
        <v>159</v>
      </c>
      <c r="I164">
        <v>124</v>
      </c>
      <c r="J164">
        <v>124</v>
      </c>
      <c r="K164">
        <v>168</v>
      </c>
      <c r="L164">
        <v>213.9</v>
      </c>
      <c r="M164">
        <v>204</v>
      </c>
      <c r="N164">
        <v>254.2</v>
      </c>
      <c r="O164">
        <v>15</v>
      </c>
    </row>
    <row r="165" spans="1:15">
      <c r="A165">
        <v>637400</v>
      </c>
      <c r="B165" t="s">
        <v>161</v>
      </c>
      <c r="C165">
        <v>9.1</v>
      </c>
      <c r="D165">
        <v>9.4</v>
      </c>
      <c r="E165">
        <v>8.5</v>
      </c>
      <c r="F165">
        <v>6.8</v>
      </c>
      <c r="G165">
        <v>5.8</v>
      </c>
      <c r="H165">
        <v>5.3</v>
      </c>
      <c r="I165">
        <v>4</v>
      </c>
      <c r="J165">
        <v>4</v>
      </c>
      <c r="K165">
        <v>5.6</v>
      </c>
      <c r="L165">
        <v>6.9</v>
      </c>
      <c r="M165">
        <v>6.8</v>
      </c>
      <c r="N165">
        <v>8.1999999999999993</v>
      </c>
      <c r="O165">
        <v>16</v>
      </c>
    </row>
    <row r="166" spans="1:15">
      <c r="A166">
        <v>637400</v>
      </c>
      <c r="B166" t="s">
        <v>249</v>
      </c>
      <c r="C166">
        <v>4.2</v>
      </c>
      <c r="D166">
        <v>3.4</v>
      </c>
      <c r="E166">
        <v>7.6</v>
      </c>
      <c r="F166">
        <v>12</v>
      </c>
      <c r="G166">
        <v>10.8</v>
      </c>
      <c r="H166">
        <v>4.5999999999999996</v>
      </c>
      <c r="I166">
        <v>2.6</v>
      </c>
      <c r="J166">
        <v>3.3</v>
      </c>
      <c r="K166">
        <v>2.8</v>
      </c>
      <c r="L166">
        <v>6.3</v>
      </c>
      <c r="M166">
        <v>14.2</v>
      </c>
      <c r="N166">
        <v>8.9</v>
      </c>
      <c r="O166">
        <v>17</v>
      </c>
    </row>
    <row r="167" spans="1:15">
      <c r="A167">
        <v>637400</v>
      </c>
      <c r="B167" t="s">
        <v>265</v>
      </c>
      <c r="C167">
        <v>0</v>
      </c>
      <c r="D167">
        <v>0</v>
      </c>
      <c r="E167">
        <v>0</v>
      </c>
      <c r="F167">
        <v>0</v>
      </c>
      <c r="G167">
        <v>0</v>
      </c>
      <c r="H167">
        <v>0</v>
      </c>
      <c r="I167">
        <v>0</v>
      </c>
      <c r="J167">
        <v>0</v>
      </c>
      <c r="K167">
        <v>0</v>
      </c>
      <c r="L167">
        <v>0</v>
      </c>
      <c r="M167">
        <v>0</v>
      </c>
      <c r="N167">
        <v>0</v>
      </c>
      <c r="O167">
        <v>18</v>
      </c>
    </row>
    <row r="168" spans="1:15">
      <c r="A168">
        <v>637400</v>
      </c>
      <c r="B168" t="s">
        <v>266</v>
      </c>
      <c r="C168">
        <v>0.5</v>
      </c>
      <c r="D168">
        <v>0.4</v>
      </c>
      <c r="E168">
        <v>0.4</v>
      </c>
      <c r="F168">
        <v>0.4</v>
      </c>
      <c r="G168">
        <v>0.3</v>
      </c>
      <c r="H168">
        <v>0.3</v>
      </c>
      <c r="I168">
        <v>0.3</v>
      </c>
      <c r="J168">
        <v>0.3</v>
      </c>
      <c r="K168">
        <v>0.3</v>
      </c>
      <c r="L168">
        <v>0.2</v>
      </c>
      <c r="M168">
        <v>0.3</v>
      </c>
      <c r="N168">
        <v>0.4</v>
      </c>
      <c r="O168">
        <v>19</v>
      </c>
    </row>
    <row r="169" spans="1:15">
      <c r="A169">
        <v>637400</v>
      </c>
      <c r="B169" t="s">
        <v>267</v>
      </c>
      <c r="C169">
        <v>2.4</v>
      </c>
      <c r="D169">
        <v>1.5</v>
      </c>
      <c r="E169">
        <v>2.2000000000000002</v>
      </c>
      <c r="F169">
        <v>3.7</v>
      </c>
      <c r="G169">
        <v>2.2999999999999998</v>
      </c>
      <c r="H169">
        <v>1.6</v>
      </c>
      <c r="I169">
        <v>1.3</v>
      </c>
      <c r="J169">
        <v>0.9</v>
      </c>
      <c r="K169">
        <v>0.8</v>
      </c>
      <c r="L169">
        <v>1.3</v>
      </c>
      <c r="M169">
        <v>3.8</v>
      </c>
      <c r="N169">
        <v>3.9</v>
      </c>
      <c r="O169">
        <v>20</v>
      </c>
    </row>
    <row r="170" spans="1:15">
      <c r="A170">
        <v>637400</v>
      </c>
      <c r="B170" t="s">
        <v>268</v>
      </c>
      <c r="C170">
        <v>0.1</v>
      </c>
      <c r="D170">
        <v>0.1</v>
      </c>
      <c r="E170">
        <v>0</v>
      </c>
      <c r="F170">
        <v>0.1</v>
      </c>
      <c r="G170">
        <v>0.2</v>
      </c>
      <c r="H170">
        <v>0.1</v>
      </c>
      <c r="I170">
        <v>0.1</v>
      </c>
      <c r="J170">
        <v>0.1</v>
      </c>
      <c r="K170">
        <v>0</v>
      </c>
      <c r="L170">
        <v>0</v>
      </c>
      <c r="M170">
        <v>0.1</v>
      </c>
      <c r="N170">
        <v>0</v>
      </c>
      <c r="O170">
        <v>21</v>
      </c>
    </row>
    <row r="171" spans="1:15">
      <c r="A171">
        <v>637400</v>
      </c>
      <c r="B171" t="s">
        <v>269</v>
      </c>
      <c r="C171">
        <v>1.2</v>
      </c>
      <c r="D171">
        <v>2</v>
      </c>
      <c r="E171">
        <v>3.5</v>
      </c>
      <c r="F171">
        <v>5.9</v>
      </c>
      <c r="G171">
        <v>2.8</v>
      </c>
      <c r="H171">
        <v>1.5</v>
      </c>
      <c r="I171">
        <v>0.6</v>
      </c>
      <c r="J171">
        <v>0.9</v>
      </c>
      <c r="K171">
        <v>1</v>
      </c>
      <c r="L171">
        <v>1.1000000000000001</v>
      </c>
      <c r="M171">
        <v>2.4</v>
      </c>
      <c r="N171">
        <v>1.4</v>
      </c>
      <c r="O171">
        <v>22</v>
      </c>
    </row>
    <row r="172" spans="1:15">
      <c r="A172">
        <v>637400</v>
      </c>
      <c r="B172" t="s">
        <v>270</v>
      </c>
      <c r="C172">
        <v>26.8</v>
      </c>
      <c r="D172">
        <v>27.1</v>
      </c>
      <c r="E172">
        <v>29.1</v>
      </c>
      <c r="F172">
        <v>22.9</v>
      </c>
      <c r="G172">
        <v>15.3</v>
      </c>
      <c r="H172">
        <v>8.8000000000000007</v>
      </c>
      <c r="I172">
        <v>7.9</v>
      </c>
      <c r="J172">
        <v>11.8</v>
      </c>
      <c r="K172">
        <v>22.6</v>
      </c>
      <c r="L172">
        <v>26.1</v>
      </c>
      <c r="M172">
        <v>18</v>
      </c>
      <c r="N172">
        <v>21.2</v>
      </c>
      <c r="O172">
        <v>23</v>
      </c>
    </row>
    <row r="173" spans="1:15">
      <c r="A173">
        <v>637400</v>
      </c>
      <c r="B173" t="s">
        <v>271</v>
      </c>
      <c r="C173">
        <v>0</v>
      </c>
      <c r="D173">
        <v>0</v>
      </c>
      <c r="E173">
        <v>0</v>
      </c>
      <c r="F173">
        <v>0</v>
      </c>
      <c r="G173">
        <v>0</v>
      </c>
      <c r="H173">
        <v>0</v>
      </c>
      <c r="I173">
        <v>0</v>
      </c>
      <c r="J173">
        <v>0</v>
      </c>
      <c r="K173">
        <v>0</v>
      </c>
      <c r="L173">
        <v>0</v>
      </c>
      <c r="M173">
        <v>0</v>
      </c>
      <c r="N173">
        <v>0</v>
      </c>
      <c r="O173">
        <v>24</v>
      </c>
    </row>
    <row r="174" spans="1:15">
      <c r="A174">
        <v>637400</v>
      </c>
      <c r="B174" t="s">
        <v>272</v>
      </c>
      <c r="C174">
        <v>0</v>
      </c>
      <c r="D174">
        <v>0</v>
      </c>
      <c r="E174">
        <v>0</v>
      </c>
      <c r="F174">
        <v>0</v>
      </c>
      <c r="G174">
        <v>0</v>
      </c>
      <c r="H174">
        <v>0</v>
      </c>
      <c r="I174">
        <v>0</v>
      </c>
      <c r="J174">
        <v>0</v>
      </c>
      <c r="K174">
        <v>0</v>
      </c>
      <c r="L174">
        <v>0</v>
      </c>
      <c r="M174">
        <v>0</v>
      </c>
      <c r="N174">
        <v>0</v>
      </c>
      <c r="O174">
        <v>25</v>
      </c>
    </row>
    <row r="175" spans="1:15">
      <c r="A175">
        <v>637400</v>
      </c>
      <c r="B175" t="s">
        <v>240</v>
      </c>
      <c r="O175">
        <v>26</v>
      </c>
    </row>
    <row r="177" spans="1:15">
      <c r="A177">
        <v>723560</v>
      </c>
      <c r="B177" t="s">
        <v>252</v>
      </c>
      <c r="C177">
        <v>26.7</v>
      </c>
      <c r="D177">
        <v>32.200000000000003</v>
      </c>
      <c r="E177">
        <v>34.4</v>
      </c>
      <c r="F177">
        <v>35</v>
      </c>
      <c r="G177">
        <v>36.1</v>
      </c>
      <c r="H177">
        <v>41.1</v>
      </c>
      <c r="I177">
        <v>44.4</v>
      </c>
      <c r="J177">
        <v>45</v>
      </c>
      <c r="K177">
        <v>42.2</v>
      </c>
      <c r="L177">
        <v>33.9</v>
      </c>
      <c r="M177">
        <v>31.1</v>
      </c>
      <c r="N177">
        <v>25.6</v>
      </c>
      <c r="O177">
        <v>1</v>
      </c>
    </row>
    <row r="178" spans="1:15">
      <c r="A178">
        <v>723560</v>
      </c>
      <c r="B178" t="s">
        <v>253</v>
      </c>
      <c r="C178">
        <v>10.9</v>
      </c>
      <c r="D178">
        <v>13.5</v>
      </c>
      <c r="E178">
        <v>18.899999999999999</v>
      </c>
      <c r="F178">
        <v>23.7</v>
      </c>
      <c r="G178">
        <v>27.6</v>
      </c>
      <c r="H178">
        <v>31.9</v>
      </c>
      <c r="I178">
        <v>34.799999999999997</v>
      </c>
      <c r="J178">
        <v>34.700000000000003</v>
      </c>
      <c r="K178">
        <v>30.3</v>
      </c>
      <c r="L178">
        <v>24.3</v>
      </c>
      <c r="M178">
        <v>17.600000000000001</v>
      </c>
      <c r="N178">
        <v>11.4</v>
      </c>
      <c r="O178">
        <v>2</v>
      </c>
    </row>
    <row r="179" spans="1:15">
      <c r="A179">
        <v>723560</v>
      </c>
      <c r="B179" t="s">
        <v>254</v>
      </c>
      <c r="C179">
        <v>3.3</v>
      </c>
      <c r="D179">
        <v>5.7</v>
      </c>
      <c r="E179">
        <v>10.9</v>
      </c>
      <c r="F179">
        <v>16.100000000000001</v>
      </c>
      <c r="G179">
        <v>20.9</v>
      </c>
      <c r="H179">
        <v>25.8</v>
      </c>
      <c r="I179">
        <v>28.5</v>
      </c>
      <c r="J179">
        <v>27.8</v>
      </c>
      <c r="K179">
        <v>23.2</v>
      </c>
      <c r="L179">
        <v>16.7</v>
      </c>
      <c r="M179">
        <v>10.3</v>
      </c>
      <c r="N179">
        <v>4.5</v>
      </c>
      <c r="O179">
        <v>3</v>
      </c>
    </row>
    <row r="180" spans="1:15">
      <c r="A180">
        <v>723560</v>
      </c>
      <c r="B180" t="s">
        <v>255</v>
      </c>
      <c r="C180">
        <v>-2.9</v>
      </c>
      <c r="D180">
        <v>-0.9</v>
      </c>
      <c r="E180">
        <v>4.2</v>
      </c>
      <c r="F180">
        <v>9.1999999999999993</v>
      </c>
      <c r="G180">
        <v>14.5</v>
      </c>
      <c r="H180">
        <v>19.7</v>
      </c>
      <c r="I180">
        <v>22.4</v>
      </c>
      <c r="J180">
        <v>21.5</v>
      </c>
      <c r="K180">
        <v>16.7</v>
      </c>
      <c r="L180">
        <v>10</v>
      </c>
      <c r="M180">
        <v>3.8</v>
      </c>
      <c r="N180">
        <v>-1.5</v>
      </c>
      <c r="O180">
        <v>4</v>
      </c>
    </row>
    <row r="181" spans="1:15">
      <c r="A181">
        <v>723560</v>
      </c>
      <c r="B181" t="s">
        <v>256</v>
      </c>
      <c r="C181">
        <v>-20.6</v>
      </c>
      <c r="D181">
        <v>-24.4</v>
      </c>
      <c r="E181">
        <v>-15.6</v>
      </c>
      <c r="F181">
        <v>-3.9</v>
      </c>
      <c r="G181">
        <v>1.7</v>
      </c>
      <c r="H181">
        <v>10</v>
      </c>
      <c r="I181">
        <v>13.9</v>
      </c>
      <c r="J181">
        <v>10</v>
      </c>
      <c r="K181">
        <v>1.7</v>
      </c>
      <c r="L181">
        <v>-7.8</v>
      </c>
      <c r="M181">
        <v>-10.6</v>
      </c>
      <c r="N181">
        <v>-22.2</v>
      </c>
      <c r="O181">
        <v>5</v>
      </c>
    </row>
    <row r="182" spans="1:15">
      <c r="A182">
        <v>723560</v>
      </c>
      <c r="B182" t="s">
        <v>257</v>
      </c>
      <c r="C182">
        <v>-3.3</v>
      </c>
      <c r="D182">
        <v>-1.3</v>
      </c>
      <c r="E182">
        <v>3</v>
      </c>
      <c r="F182">
        <v>7.9</v>
      </c>
      <c r="G182">
        <v>14.5</v>
      </c>
      <c r="H182">
        <v>19.100000000000001</v>
      </c>
      <c r="I182">
        <v>20.3</v>
      </c>
      <c r="J182">
        <v>19.7</v>
      </c>
      <c r="K182">
        <v>16.100000000000001</v>
      </c>
      <c r="L182">
        <v>9.8000000000000007</v>
      </c>
      <c r="M182">
        <v>3.4</v>
      </c>
      <c r="N182">
        <v>-1.6</v>
      </c>
      <c r="O182">
        <v>6</v>
      </c>
    </row>
    <row r="183" spans="1:15">
      <c r="A183">
        <v>723560</v>
      </c>
      <c r="B183" t="s">
        <v>159</v>
      </c>
      <c r="C183">
        <v>63.6</v>
      </c>
      <c r="D183">
        <v>62.6</v>
      </c>
      <c r="E183">
        <v>59.9</v>
      </c>
      <c r="F183">
        <v>59.9</v>
      </c>
      <c r="G183">
        <v>67.8</v>
      </c>
      <c r="H183">
        <v>67.5</v>
      </c>
      <c r="I183">
        <v>62.5</v>
      </c>
      <c r="J183">
        <v>62.7</v>
      </c>
      <c r="K183">
        <v>65.7</v>
      </c>
      <c r="L183">
        <v>65.2</v>
      </c>
      <c r="M183">
        <v>64.2</v>
      </c>
      <c r="N183">
        <v>66.5</v>
      </c>
      <c r="O183">
        <v>7</v>
      </c>
    </row>
    <row r="184" spans="1:15">
      <c r="A184">
        <v>723560</v>
      </c>
      <c r="B184" t="s">
        <v>258</v>
      </c>
      <c r="C184">
        <v>39.700000000000003</v>
      </c>
      <c r="D184">
        <v>38.9</v>
      </c>
      <c r="E184">
        <v>37.299999999999997</v>
      </c>
      <c r="F184">
        <v>38.4</v>
      </c>
      <c r="G184">
        <v>46.1</v>
      </c>
      <c r="H184">
        <v>47.6</v>
      </c>
      <c r="I184">
        <v>43.8</v>
      </c>
      <c r="J184">
        <v>42.6</v>
      </c>
      <c r="K184">
        <v>43.7</v>
      </c>
      <c r="L184">
        <v>41.9</v>
      </c>
      <c r="M184">
        <v>41.5</v>
      </c>
      <c r="N184">
        <v>43.4</v>
      </c>
      <c r="O184">
        <v>8</v>
      </c>
    </row>
    <row r="185" spans="1:15">
      <c r="A185">
        <v>723560</v>
      </c>
      <c r="B185" t="s">
        <v>259</v>
      </c>
      <c r="C185">
        <v>5.3</v>
      </c>
      <c r="D185">
        <v>6.1</v>
      </c>
      <c r="E185">
        <v>8.3000000000000007</v>
      </c>
      <c r="F185">
        <v>11.4</v>
      </c>
      <c r="G185">
        <v>17.100000000000001</v>
      </c>
      <c r="H185">
        <v>22.4</v>
      </c>
      <c r="I185">
        <v>24.1</v>
      </c>
      <c r="J185">
        <v>23.3</v>
      </c>
      <c r="K185">
        <v>18.899999999999999</v>
      </c>
      <c r="L185">
        <v>12.9</v>
      </c>
      <c r="M185">
        <v>8.5</v>
      </c>
      <c r="N185">
        <v>6</v>
      </c>
      <c r="O185">
        <v>9</v>
      </c>
    </row>
    <row r="186" spans="1:15">
      <c r="A186">
        <v>723560</v>
      </c>
      <c r="B186" t="s">
        <v>260</v>
      </c>
      <c r="C186">
        <v>47.7</v>
      </c>
      <c r="D186">
        <v>53.8</v>
      </c>
      <c r="E186">
        <v>93.3</v>
      </c>
      <c r="F186">
        <v>114.2</v>
      </c>
      <c r="G186">
        <v>163.5</v>
      </c>
      <c r="H186">
        <v>126.9</v>
      </c>
      <c r="I186">
        <v>104.3</v>
      </c>
      <c r="J186">
        <v>98</v>
      </c>
      <c r="K186">
        <v>113.3</v>
      </c>
      <c r="L186">
        <v>119.7</v>
      </c>
      <c r="M186">
        <v>80.7</v>
      </c>
      <c r="N186">
        <v>69.8</v>
      </c>
      <c r="O186">
        <v>10</v>
      </c>
    </row>
    <row r="187" spans="1:15">
      <c r="A187">
        <v>723560</v>
      </c>
      <c r="B187" t="s">
        <v>261</v>
      </c>
      <c r="C187">
        <v>44.2</v>
      </c>
      <c r="D187">
        <v>41.7</v>
      </c>
      <c r="E187">
        <v>64</v>
      </c>
      <c r="F187">
        <v>73.2</v>
      </c>
      <c r="G187">
        <v>92.7</v>
      </c>
      <c r="H187">
        <v>74.400000000000006</v>
      </c>
      <c r="I187">
        <v>74.7</v>
      </c>
      <c r="J187">
        <v>71.900000000000006</v>
      </c>
      <c r="K187">
        <v>79</v>
      </c>
      <c r="L187">
        <v>81.8</v>
      </c>
      <c r="M187">
        <v>55.9</v>
      </c>
      <c r="N187">
        <v>49.5</v>
      </c>
      <c r="O187">
        <v>11</v>
      </c>
    </row>
    <row r="188" spans="1:15">
      <c r="A188">
        <v>723560</v>
      </c>
      <c r="B188" t="s">
        <v>262</v>
      </c>
      <c r="C188">
        <v>1021.1</v>
      </c>
      <c r="D188">
        <v>1019.5</v>
      </c>
      <c r="E188">
        <v>1016.5</v>
      </c>
      <c r="F188">
        <v>1013.6</v>
      </c>
      <c r="G188">
        <v>1012.9</v>
      </c>
      <c r="H188">
        <v>1012.7</v>
      </c>
      <c r="I188">
        <v>1014.2</v>
      </c>
      <c r="J188">
        <v>1014.5</v>
      </c>
      <c r="K188">
        <v>1015.7</v>
      </c>
      <c r="L188">
        <v>1017.1</v>
      </c>
      <c r="M188">
        <v>1018.7</v>
      </c>
      <c r="N188">
        <v>1020.5</v>
      </c>
      <c r="O188">
        <v>12</v>
      </c>
    </row>
    <row r="189" spans="1:15">
      <c r="A189">
        <v>723560</v>
      </c>
      <c r="B189" t="s">
        <v>263</v>
      </c>
      <c r="C189">
        <v>15.9</v>
      </c>
      <c r="D189">
        <v>15.7</v>
      </c>
      <c r="E189">
        <v>16.3</v>
      </c>
      <c r="F189">
        <v>16.8</v>
      </c>
      <c r="G189">
        <v>16.399999999999999</v>
      </c>
      <c r="H189">
        <v>16.600000000000001</v>
      </c>
      <c r="I189">
        <v>16.8</v>
      </c>
      <c r="J189">
        <v>16.399999999999999</v>
      </c>
      <c r="K189">
        <v>16.399999999999999</v>
      </c>
      <c r="L189">
        <v>16.399999999999999</v>
      </c>
      <c r="M189">
        <v>16.2</v>
      </c>
      <c r="N189">
        <v>15.8</v>
      </c>
      <c r="O189">
        <v>13</v>
      </c>
    </row>
    <row r="190" spans="1:15">
      <c r="A190">
        <v>723560</v>
      </c>
      <c r="B190" t="s">
        <v>264</v>
      </c>
      <c r="C190">
        <v>4.2</v>
      </c>
      <c r="D190">
        <v>4.3</v>
      </c>
      <c r="E190">
        <v>4.8</v>
      </c>
      <c r="F190">
        <v>4.9000000000000004</v>
      </c>
      <c r="G190">
        <v>4.4000000000000004</v>
      </c>
      <c r="H190">
        <v>4.2</v>
      </c>
      <c r="I190">
        <v>3.9</v>
      </c>
      <c r="J190">
        <v>3.5</v>
      </c>
      <c r="K190">
        <v>3.6</v>
      </c>
      <c r="L190">
        <v>4</v>
      </c>
      <c r="M190">
        <v>4.3</v>
      </c>
      <c r="N190">
        <v>4.0999999999999996</v>
      </c>
      <c r="O190">
        <v>14</v>
      </c>
    </row>
    <row r="191" spans="1:15">
      <c r="A191">
        <v>723560</v>
      </c>
      <c r="B191" t="s">
        <v>160</v>
      </c>
      <c r="C191" s="365">
        <v>175.8</v>
      </c>
      <c r="D191" s="365">
        <v>171.7</v>
      </c>
      <c r="E191" s="365">
        <v>219.6</v>
      </c>
      <c r="F191" s="365">
        <v>244.4</v>
      </c>
      <c r="G191" s="365">
        <v>266.7</v>
      </c>
      <c r="H191" s="365">
        <v>294.8</v>
      </c>
      <c r="I191" s="365">
        <v>334.7</v>
      </c>
      <c r="J191" s="365">
        <v>305.3</v>
      </c>
      <c r="K191" s="365">
        <v>232.5</v>
      </c>
      <c r="L191" s="365">
        <v>218.6</v>
      </c>
      <c r="M191" s="365">
        <v>161.1</v>
      </c>
      <c r="N191" s="365">
        <v>160.80000000000001</v>
      </c>
      <c r="O191">
        <v>15</v>
      </c>
    </row>
    <row r="192" spans="1:15">
      <c r="A192">
        <v>723560</v>
      </c>
      <c r="B192" t="s">
        <v>161</v>
      </c>
      <c r="C192" s="365">
        <v>5.6709677419354838</v>
      </c>
      <c r="D192" s="365">
        <v>6.1321428571428571</v>
      </c>
      <c r="E192" s="365">
        <v>7.0838709677419356</v>
      </c>
      <c r="F192" s="365">
        <v>8.1466666666666665</v>
      </c>
      <c r="G192" s="365">
        <v>8.6032258064516132</v>
      </c>
      <c r="H192" s="365">
        <v>9.8266666666666662</v>
      </c>
      <c r="I192" s="365">
        <v>10.796774193548387</v>
      </c>
      <c r="J192" s="365">
        <v>9.8483870967741947</v>
      </c>
      <c r="K192" s="365">
        <v>7.75</v>
      </c>
      <c r="L192" s="365">
        <v>7.0516129032258066</v>
      </c>
      <c r="M192" s="365">
        <v>5.37</v>
      </c>
      <c r="N192" s="365">
        <v>5.1870967741935488</v>
      </c>
      <c r="O192">
        <v>16</v>
      </c>
    </row>
    <row r="193" spans="1:15">
      <c r="A193">
        <v>723560</v>
      </c>
      <c r="B193" t="s">
        <v>249</v>
      </c>
      <c r="C193">
        <v>7.2</v>
      </c>
      <c r="D193">
        <v>8.1</v>
      </c>
      <c r="E193">
        <v>10.199999999999999</v>
      </c>
      <c r="F193">
        <v>11</v>
      </c>
      <c r="G193">
        <v>12.8</v>
      </c>
      <c r="H193">
        <v>11</v>
      </c>
      <c r="I193">
        <v>8.3000000000000007</v>
      </c>
      <c r="J193">
        <v>8.9</v>
      </c>
      <c r="K193">
        <v>9.6</v>
      </c>
      <c r="L193">
        <v>10.5</v>
      </c>
      <c r="M193">
        <v>8.3000000000000007</v>
      </c>
      <c r="N193">
        <v>8.6</v>
      </c>
      <c r="O193">
        <v>17</v>
      </c>
    </row>
    <row r="194" spans="1:15">
      <c r="A194">
        <v>723560</v>
      </c>
      <c r="B194" t="s">
        <v>265</v>
      </c>
      <c r="C194">
        <v>3.8</v>
      </c>
      <c r="D194">
        <v>3.3</v>
      </c>
      <c r="E194">
        <v>0</v>
      </c>
      <c r="F194">
        <v>0</v>
      </c>
      <c r="G194">
        <v>0</v>
      </c>
      <c r="H194">
        <v>0</v>
      </c>
      <c r="I194">
        <v>0</v>
      </c>
      <c r="J194">
        <v>0</v>
      </c>
      <c r="K194">
        <v>0</v>
      </c>
      <c r="L194">
        <v>0</v>
      </c>
      <c r="M194">
        <v>0</v>
      </c>
      <c r="N194">
        <v>3.3</v>
      </c>
      <c r="O194">
        <v>18</v>
      </c>
    </row>
    <row r="195" spans="1:15">
      <c r="A195">
        <v>723560</v>
      </c>
      <c r="B195" t="s">
        <v>266</v>
      </c>
      <c r="C195">
        <v>0.1</v>
      </c>
      <c r="D195">
        <v>0.1</v>
      </c>
      <c r="E195">
        <v>0.2</v>
      </c>
      <c r="F195">
        <v>0.5</v>
      </c>
      <c r="G195">
        <v>0.3</v>
      </c>
      <c r="H195">
        <v>0.6</v>
      </c>
      <c r="I195">
        <v>0.2</v>
      </c>
      <c r="J195">
        <v>0.2</v>
      </c>
      <c r="K195">
        <v>0.1</v>
      </c>
      <c r="L195">
        <v>0.1</v>
      </c>
      <c r="M195">
        <v>0.2</v>
      </c>
      <c r="N195">
        <v>0.1</v>
      </c>
      <c r="O195">
        <v>19</v>
      </c>
    </row>
    <row r="196" spans="1:15">
      <c r="A196">
        <v>723560</v>
      </c>
      <c r="B196" t="s">
        <v>267</v>
      </c>
      <c r="C196">
        <v>7.4</v>
      </c>
      <c r="D196">
        <v>7.4</v>
      </c>
      <c r="E196">
        <v>7.1</v>
      </c>
      <c r="F196">
        <v>6</v>
      </c>
      <c r="G196">
        <v>7.9</v>
      </c>
      <c r="H196">
        <v>6</v>
      </c>
      <c r="I196">
        <v>4</v>
      </c>
      <c r="J196">
        <v>5.5</v>
      </c>
      <c r="K196">
        <v>6.1</v>
      </c>
      <c r="L196">
        <v>7.1</v>
      </c>
      <c r="M196">
        <v>6.9</v>
      </c>
      <c r="N196">
        <v>7.5</v>
      </c>
      <c r="O196">
        <v>20</v>
      </c>
    </row>
    <row r="197" spans="1:15">
      <c r="A197">
        <v>723560</v>
      </c>
      <c r="B197" t="s">
        <v>268</v>
      </c>
      <c r="C197">
        <v>0</v>
      </c>
      <c r="D197">
        <v>0</v>
      </c>
      <c r="E197">
        <v>0.1</v>
      </c>
      <c r="F197">
        <v>0.5</v>
      </c>
      <c r="G197">
        <v>0.3</v>
      </c>
      <c r="H197">
        <v>0.1</v>
      </c>
      <c r="I197">
        <v>0.1</v>
      </c>
      <c r="J197">
        <v>0</v>
      </c>
      <c r="K197">
        <v>0.1</v>
      </c>
      <c r="L197">
        <v>0</v>
      </c>
      <c r="M197">
        <v>0.1</v>
      </c>
      <c r="N197">
        <v>0.1</v>
      </c>
      <c r="O197">
        <v>21</v>
      </c>
    </row>
    <row r="198" spans="1:15">
      <c r="A198">
        <v>723560</v>
      </c>
      <c r="B198" t="s">
        <v>269</v>
      </c>
      <c r="C198">
        <v>0.8</v>
      </c>
      <c r="D198">
        <v>1.6</v>
      </c>
      <c r="E198">
        <v>3.7</v>
      </c>
      <c r="F198">
        <v>5.8</v>
      </c>
      <c r="G198">
        <v>7.8</v>
      </c>
      <c r="H198">
        <v>7.1</v>
      </c>
      <c r="I198">
        <v>6.2</v>
      </c>
      <c r="J198">
        <v>6.1</v>
      </c>
      <c r="K198">
        <v>4.2</v>
      </c>
      <c r="L198">
        <v>3.3</v>
      </c>
      <c r="M198">
        <v>1.9</v>
      </c>
      <c r="N198">
        <v>1</v>
      </c>
      <c r="O198">
        <v>22</v>
      </c>
    </row>
    <row r="199" spans="1:15">
      <c r="A199">
        <v>723560</v>
      </c>
      <c r="B199" t="s">
        <v>270</v>
      </c>
      <c r="C199">
        <v>0.1</v>
      </c>
      <c r="D199">
        <v>1.1000000000000001</v>
      </c>
      <c r="E199">
        <v>5.9</v>
      </c>
      <c r="F199">
        <v>13.8</v>
      </c>
      <c r="G199">
        <v>24.2</v>
      </c>
      <c r="H199">
        <v>29.4</v>
      </c>
      <c r="I199">
        <v>30.9</v>
      </c>
      <c r="J199">
        <v>30.9</v>
      </c>
      <c r="K199">
        <v>26.9</v>
      </c>
      <c r="L199">
        <v>15.7</v>
      </c>
      <c r="M199">
        <v>3.5</v>
      </c>
      <c r="N199">
        <v>0.1</v>
      </c>
      <c r="O199">
        <v>23</v>
      </c>
    </row>
    <row r="200" spans="1:15">
      <c r="A200">
        <v>723560</v>
      </c>
      <c r="B200" t="s">
        <v>271</v>
      </c>
      <c r="C200">
        <v>0</v>
      </c>
      <c r="D200">
        <v>0</v>
      </c>
      <c r="E200">
        <v>0</v>
      </c>
      <c r="F200">
        <v>0.8</v>
      </c>
      <c r="G200">
        <v>3.4</v>
      </c>
      <c r="H200">
        <v>15.5</v>
      </c>
      <c r="I200">
        <v>25.3</v>
      </c>
      <c r="J200">
        <v>22.9</v>
      </c>
      <c r="K200">
        <v>9.6999999999999993</v>
      </c>
      <c r="L200">
        <v>1.3</v>
      </c>
      <c r="M200">
        <v>0.1</v>
      </c>
      <c r="N200">
        <v>0</v>
      </c>
      <c r="O200">
        <v>24</v>
      </c>
    </row>
    <row r="201" spans="1:15">
      <c r="A201">
        <v>723560</v>
      </c>
      <c r="B201" t="s">
        <v>272</v>
      </c>
      <c r="C201">
        <v>22.8</v>
      </c>
      <c r="D201">
        <v>16.600000000000001</v>
      </c>
      <c r="E201">
        <v>8.1999999999999993</v>
      </c>
      <c r="F201">
        <v>1.1000000000000001</v>
      </c>
      <c r="G201">
        <v>0</v>
      </c>
      <c r="H201">
        <v>0</v>
      </c>
      <c r="I201">
        <v>0</v>
      </c>
      <c r="J201">
        <v>0</v>
      </c>
      <c r="K201">
        <v>0</v>
      </c>
      <c r="L201">
        <v>0.7</v>
      </c>
      <c r="M201">
        <v>8.5</v>
      </c>
      <c r="N201">
        <v>19.899999999999999</v>
      </c>
      <c r="O201">
        <v>25</v>
      </c>
    </row>
    <row r="202" spans="1:15">
      <c r="A202">
        <v>723560</v>
      </c>
      <c r="B202" t="s">
        <v>240</v>
      </c>
      <c r="O202">
        <v>26</v>
      </c>
    </row>
    <row r="203" spans="1:15">
      <c r="A203">
        <v>723560</v>
      </c>
      <c r="B203" t="s">
        <v>179</v>
      </c>
      <c r="C203">
        <v>6.9</v>
      </c>
      <c r="D203">
        <v>4.5999999999999996</v>
      </c>
      <c r="E203">
        <v>5.3</v>
      </c>
      <c r="G203">
        <v>0</v>
      </c>
      <c r="H203">
        <v>0</v>
      </c>
      <c r="I203">
        <v>0</v>
      </c>
      <c r="J203">
        <v>0</v>
      </c>
      <c r="K203">
        <v>0</v>
      </c>
      <c r="M203">
        <v>1.8</v>
      </c>
      <c r="N203">
        <v>5.8</v>
      </c>
      <c r="O203">
        <v>27</v>
      </c>
    </row>
    <row r="205" spans="1:15">
      <c r="A205">
        <v>744860</v>
      </c>
      <c r="B205" t="s">
        <v>252</v>
      </c>
      <c r="C205">
        <v>21.7</v>
      </c>
      <c r="D205">
        <v>20</v>
      </c>
      <c r="E205">
        <v>29.4</v>
      </c>
      <c r="F205">
        <v>32.200000000000003</v>
      </c>
      <c r="G205">
        <v>35</v>
      </c>
      <c r="H205">
        <v>36.700000000000003</v>
      </c>
      <c r="I205">
        <v>39.4</v>
      </c>
      <c r="J205">
        <v>37.799999999999997</v>
      </c>
      <c r="K205">
        <v>36.700000000000003</v>
      </c>
      <c r="L205">
        <v>35</v>
      </c>
      <c r="M205">
        <v>25</v>
      </c>
      <c r="N205">
        <v>23.9</v>
      </c>
      <c r="O205">
        <v>1</v>
      </c>
    </row>
    <row r="206" spans="1:15">
      <c r="A206">
        <v>744860</v>
      </c>
      <c r="B206" t="s">
        <v>253</v>
      </c>
      <c r="C206">
        <v>5.3</v>
      </c>
      <c r="D206">
        <v>6.8</v>
      </c>
      <c r="E206">
        <v>10.7</v>
      </c>
      <c r="F206">
        <v>16.5</v>
      </c>
      <c r="G206">
        <v>21.6</v>
      </c>
      <c r="H206">
        <v>26.9</v>
      </c>
      <c r="I206">
        <v>29.6</v>
      </c>
      <c r="J206">
        <v>28.7</v>
      </c>
      <c r="K206">
        <v>25.5</v>
      </c>
      <c r="L206">
        <v>19.5</v>
      </c>
      <c r="M206">
        <v>13.6</v>
      </c>
      <c r="N206">
        <v>8.3000000000000007</v>
      </c>
      <c r="O206">
        <v>2</v>
      </c>
    </row>
    <row r="207" spans="1:15">
      <c r="A207">
        <v>744860</v>
      </c>
      <c r="B207" t="s">
        <v>254</v>
      </c>
      <c r="C207">
        <v>0.5</v>
      </c>
      <c r="D207">
        <v>1.7</v>
      </c>
      <c r="E207">
        <v>5.0999999999999996</v>
      </c>
      <c r="F207">
        <v>10.4</v>
      </c>
      <c r="G207">
        <v>15.7</v>
      </c>
      <c r="H207">
        <v>21.1</v>
      </c>
      <c r="I207">
        <v>24.3</v>
      </c>
      <c r="J207">
        <v>23.8</v>
      </c>
      <c r="K207">
        <v>20.3</v>
      </c>
      <c r="L207">
        <v>14.3</v>
      </c>
      <c r="M207">
        <v>8.6999999999999993</v>
      </c>
      <c r="N207">
        <v>3.7</v>
      </c>
      <c r="O207">
        <v>3</v>
      </c>
    </row>
    <row r="208" spans="1:15">
      <c r="A208">
        <v>744860</v>
      </c>
      <c r="B208" t="s">
        <v>255</v>
      </c>
      <c r="C208">
        <v>-3.6</v>
      </c>
      <c r="D208">
        <v>-2.7</v>
      </c>
      <c r="E208">
        <v>0.6</v>
      </c>
      <c r="F208">
        <v>5.9</v>
      </c>
      <c r="G208">
        <v>11.3</v>
      </c>
      <c r="H208">
        <v>16.7</v>
      </c>
      <c r="I208">
        <v>20.2</v>
      </c>
      <c r="J208">
        <v>19.7</v>
      </c>
      <c r="K208">
        <v>16</v>
      </c>
      <c r="L208">
        <v>9.9</v>
      </c>
      <c r="M208">
        <v>4.4000000000000004</v>
      </c>
      <c r="N208">
        <v>-0.2</v>
      </c>
      <c r="O208">
        <v>4</v>
      </c>
    </row>
    <row r="209" spans="1:15">
      <c r="A209">
        <v>744860</v>
      </c>
      <c r="B209" t="s">
        <v>256</v>
      </c>
      <c r="C209">
        <v>-19</v>
      </c>
      <c r="D209">
        <v>-17.2</v>
      </c>
      <c r="E209">
        <v>-11.7</v>
      </c>
      <c r="F209">
        <v>-7.2</v>
      </c>
      <c r="G209">
        <v>2.8</v>
      </c>
      <c r="H209">
        <v>8.9</v>
      </c>
      <c r="I209">
        <v>12.8</v>
      </c>
      <c r="J209">
        <v>10.6</v>
      </c>
      <c r="K209">
        <v>6.1</v>
      </c>
      <c r="L209">
        <v>-0.6</v>
      </c>
      <c r="M209">
        <v>-9.4</v>
      </c>
      <c r="N209">
        <v>-16.7</v>
      </c>
      <c r="O209">
        <v>5</v>
      </c>
    </row>
    <row r="210" spans="1:15">
      <c r="A210">
        <v>744860</v>
      </c>
      <c r="B210" t="s">
        <v>257</v>
      </c>
      <c r="C210">
        <v>-6.1</v>
      </c>
      <c r="D210">
        <v>-5.3</v>
      </c>
      <c r="E210">
        <v>-2.4</v>
      </c>
      <c r="F210">
        <v>3</v>
      </c>
      <c r="G210">
        <v>9.6</v>
      </c>
      <c r="H210">
        <v>15</v>
      </c>
      <c r="I210">
        <v>18.2</v>
      </c>
      <c r="J210">
        <v>17.899999999999999</v>
      </c>
      <c r="K210">
        <v>14.5</v>
      </c>
      <c r="L210">
        <v>8.1999999999999993</v>
      </c>
      <c r="M210">
        <v>2.2000000000000002</v>
      </c>
      <c r="N210">
        <v>-2.7</v>
      </c>
      <c r="O210">
        <v>6</v>
      </c>
    </row>
    <row r="211" spans="1:15">
      <c r="A211">
        <v>744860</v>
      </c>
      <c r="B211" t="s">
        <v>159</v>
      </c>
      <c r="C211">
        <v>62.6</v>
      </c>
      <c r="D211">
        <v>61.5</v>
      </c>
      <c r="E211">
        <v>60.7</v>
      </c>
      <c r="F211">
        <v>62.6</v>
      </c>
      <c r="G211">
        <v>69.2</v>
      </c>
      <c r="H211">
        <v>69.8</v>
      </c>
      <c r="I211">
        <v>69.8</v>
      </c>
      <c r="J211">
        <v>70.599999999999994</v>
      </c>
      <c r="K211">
        <v>70.2</v>
      </c>
      <c r="L211">
        <v>68</v>
      </c>
      <c r="M211">
        <v>65.3</v>
      </c>
      <c r="N211">
        <v>64</v>
      </c>
      <c r="O211">
        <v>7</v>
      </c>
    </row>
    <row r="212" spans="1:15">
      <c r="A212">
        <v>744860</v>
      </c>
      <c r="B212" t="s">
        <v>258</v>
      </c>
      <c r="C212">
        <v>46</v>
      </c>
      <c r="D212">
        <v>44.1</v>
      </c>
      <c r="E212">
        <v>42.8</v>
      </c>
      <c r="F212">
        <v>43.3</v>
      </c>
      <c r="G212">
        <v>48.7</v>
      </c>
      <c r="H212">
        <v>50</v>
      </c>
      <c r="I212">
        <v>51.7</v>
      </c>
      <c r="J212">
        <v>53.3</v>
      </c>
      <c r="K212">
        <v>52.2</v>
      </c>
      <c r="L212">
        <v>49.8</v>
      </c>
      <c r="M212">
        <v>48.2</v>
      </c>
      <c r="N212">
        <v>47.7</v>
      </c>
      <c r="O212">
        <v>8</v>
      </c>
    </row>
    <row r="213" spans="1:15">
      <c r="A213">
        <v>744860</v>
      </c>
      <c r="B213" t="s">
        <v>259</v>
      </c>
      <c r="C213">
        <v>4.4000000000000004</v>
      </c>
      <c r="D213">
        <v>4.5999999999999996</v>
      </c>
      <c r="E213">
        <v>5.7</v>
      </c>
      <c r="F213">
        <v>8.1</v>
      </c>
      <c r="G213">
        <v>12.5</v>
      </c>
      <c r="H213">
        <v>17.5</v>
      </c>
      <c r="I213">
        <v>21.3</v>
      </c>
      <c r="J213">
        <v>21</v>
      </c>
      <c r="K213">
        <v>17.100000000000001</v>
      </c>
      <c r="L213">
        <v>11.7</v>
      </c>
      <c r="M213">
        <v>7.9</v>
      </c>
      <c r="N213">
        <v>5.6</v>
      </c>
      <c r="O213">
        <v>9</v>
      </c>
    </row>
    <row r="214" spans="1:15">
      <c r="A214">
        <v>744860</v>
      </c>
      <c r="B214" t="s">
        <v>260</v>
      </c>
      <c r="C214">
        <v>82.2</v>
      </c>
      <c r="D214">
        <v>66.5</v>
      </c>
      <c r="E214">
        <v>96.1</v>
      </c>
      <c r="F214">
        <v>98.2</v>
      </c>
      <c r="G214">
        <v>107.4</v>
      </c>
      <c r="H214">
        <v>101.6</v>
      </c>
      <c r="I214">
        <v>105.9</v>
      </c>
      <c r="J214">
        <v>106</v>
      </c>
      <c r="K214">
        <v>95</v>
      </c>
      <c r="L214">
        <v>92.7</v>
      </c>
      <c r="M214">
        <v>85.2</v>
      </c>
      <c r="N214">
        <v>98</v>
      </c>
      <c r="O214">
        <v>10</v>
      </c>
    </row>
    <row r="215" spans="1:15">
      <c r="A215">
        <v>744860</v>
      </c>
      <c r="B215" t="s">
        <v>261</v>
      </c>
      <c r="C215">
        <v>43.2</v>
      </c>
      <c r="D215">
        <v>36.6</v>
      </c>
      <c r="E215">
        <v>56.9</v>
      </c>
      <c r="F215">
        <v>57.9</v>
      </c>
      <c r="G215">
        <v>55.1</v>
      </c>
      <c r="H215">
        <v>59.2</v>
      </c>
      <c r="I215">
        <v>74.400000000000006</v>
      </c>
      <c r="J215">
        <v>104.4</v>
      </c>
      <c r="K215">
        <v>66.3</v>
      </c>
      <c r="L215">
        <v>75.7</v>
      </c>
      <c r="M215">
        <v>49</v>
      </c>
      <c r="N215">
        <v>50.8</v>
      </c>
      <c r="O215">
        <v>11</v>
      </c>
    </row>
    <row r="216" spans="1:15">
      <c r="A216">
        <v>744860</v>
      </c>
      <c r="B216" t="s">
        <v>262</v>
      </c>
      <c r="C216">
        <v>1018.1</v>
      </c>
      <c r="D216">
        <v>1017.9</v>
      </c>
      <c r="E216">
        <v>1017</v>
      </c>
      <c r="F216">
        <v>1015.3</v>
      </c>
      <c r="G216">
        <v>1015.8</v>
      </c>
      <c r="H216">
        <v>1014.5</v>
      </c>
      <c r="I216">
        <v>1015.1</v>
      </c>
      <c r="J216">
        <v>1016.4</v>
      </c>
      <c r="K216">
        <v>1018.2</v>
      </c>
      <c r="L216">
        <v>1018.4</v>
      </c>
      <c r="M216">
        <v>1018.9</v>
      </c>
      <c r="N216">
        <v>1018.7</v>
      </c>
      <c r="O216">
        <v>12</v>
      </c>
    </row>
    <row r="217" spans="1:15">
      <c r="A217">
        <v>744860</v>
      </c>
      <c r="B217" t="s">
        <v>263</v>
      </c>
      <c r="C217">
        <v>16.7</v>
      </c>
      <c r="D217">
        <v>16.8</v>
      </c>
      <c r="E217">
        <v>17.100000000000001</v>
      </c>
      <c r="F217">
        <v>16.8</v>
      </c>
      <c r="G217">
        <v>15.7</v>
      </c>
      <c r="H217">
        <v>15.6</v>
      </c>
      <c r="I217">
        <v>15.4</v>
      </c>
      <c r="J217">
        <v>16.100000000000001</v>
      </c>
      <c r="K217">
        <v>16.899999999999999</v>
      </c>
      <c r="L217">
        <v>17.2</v>
      </c>
      <c r="M217">
        <v>17.3</v>
      </c>
      <c r="N217">
        <v>17</v>
      </c>
      <c r="O217">
        <v>13</v>
      </c>
    </row>
    <row r="218" spans="1:15">
      <c r="A218">
        <v>744860</v>
      </c>
      <c r="B218" t="s">
        <v>264</v>
      </c>
      <c r="C218">
        <v>5.7</v>
      </c>
      <c r="D218">
        <v>5.7</v>
      </c>
      <c r="E218">
        <v>5.8</v>
      </c>
      <c r="F218">
        <v>5.5</v>
      </c>
      <c r="G218">
        <v>4.8</v>
      </c>
      <c r="H218">
        <v>4.5999999999999996</v>
      </c>
      <c r="I218">
        <v>4.4000000000000004</v>
      </c>
      <c r="J218">
        <v>4.2</v>
      </c>
      <c r="K218">
        <v>4.4000000000000004</v>
      </c>
      <c r="L218">
        <v>4.9000000000000004</v>
      </c>
      <c r="M218">
        <v>5.3</v>
      </c>
      <c r="N218">
        <v>5.5</v>
      </c>
      <c r="O218">
        <v>14</v>
      </c>
    </row>
    <row r="219" spans="1:15">
      <c r="A219">
        <v>744860</v>
      </c>
      <c r="B219" t="s">
        <v>160</v>
      </c>
      <c r="C219">
        <v>162.69999999999999</v>
      </c>
      <c r="D219">
        <v>163.1</v>
      </c>
      <c r="E219">
        <v>212.5</v>
      </c>
      <c r="F219">
        <v>225.6</v>
      </c>
      <c r="G219">
        <v>256.60000000000002</v>
      </c>
      <c r="H219">
        <v>257.3</v>
      </c>
      <c r="I219">
        <v>268.2</v>
      </c>
      <c r="J219">
        <v>268.2</v>
      </c>
      <c r="K219">
        <v>219.3</v>
      </c>
      <c r="L219">
        <v>211.2</v>
      </c>
      <c r="M219">
        <v>151</v>
      </c>
      <c r="N219">
        <v>139</v>
      </c>
      <c r="O219">
        <v>15</v>
      </c>
    </row>
    <row r="220" spans="1:15">
      <c r="A220">
        <v>744860</v>
      </c>
      <c r="B220" t="s">
        <v>161</v>
      </c>
      <c r="C220">
        <v>54</v>
      </c>
      <c r="D220">
        <v>55</v>
      </c>
      <c r="E220">
        <v>57</v>
      </c>
      <c r="F220">
        <v>57</v>
      </c>
      <c r="G220">
        <v>57</v>
      </c>
      <c r="H220">
        <v>57</v>
      </c>
      <c r="I220">
        <v>59</v>
      </c>
      <c r="J220">
        <v>63</v>
      </c>
      <c r="K220">
        <v>59</v>
      </c>
      <c r="L220">
        <v>61</v>
      </c>
      <c r="M220">
        <v>51</v>
      </c>
      <c r="N220">
        <v>48</v>
      </c>
      <c r="O220">
        <v>16</v>
      </c>
    </row>
    <row r="221" spans="1:15">
      <c r="A221">
        <v>744860</v>
      </c>
      <c r="B221" t="s">
        <v>249</v>
      </c>
      <c r="C221">
        <v>12.2</v>
      </c>
      <c r="D221">
        <v>11</v>
      </c>
      <c r="E221">
        <v>11.8</v>
      </c>
      <c r="F221">
        <v>13.2</v>
      </c>
      <c r="G221">
        <v>13.2</v>
      </c>
      <c r="H221">
        <v>11.7</v>
      </c>
      <c r="I221">
        <v>10.5</v>
      </c>
      <c r="J221">
        <v>9.6999999999999993</v>
      </c>
      <c r="K221">
        <v>9</v>
      </c>
      <c r="L221">
        <v>9.8000000000000007</v>
      </c>
      <c r="M221">
        <v>10.1</v>
      </c>
      <c r="N221">
        <v>12.5</v>
      </c>
      <c r="O221">
        <v>17</v>
      </c>
    </row>
    <row r="222" spans="1:15">
      <c r="A222">
        <v>744860</v>
      </c>
      <c r="B222" t="s">
        <v>265</v>
      </c>
      <c r="C222">
        <v>7.9</v>
      </c>
      <c r="D222">
        <v>6.5</v>
      </c>
      <c r="E222">
        <v>4.9000000000000004</v>
      </c>
      <c r="F222">
        <v>0</v>
      </c>
      <c r="G222">
        <v>0</v>
      </c>
      <c r="H222">
        <v>0</v>
      </c>
      <c r="I222">
        <v>0</v>
      </c>
      <c r="J222">
        <v>0</v>
      </c>
      <c r="K222">
        <v>0</v>
      </c>
      <c r="L222">
        <v>0</v>
      </c>
      <c r="M222">
        <v>0</v>
      </c>
      <c r="N222">
        <v>5.2</v>
      </c>
      <c r="O222">
        <v>18</v>
      </c>
    </row>
    <row r="223" spans="1:15">
      <c r="A223">
        <v>744860</v>
      </c>
      <c r="B223" t="s">
        <v>266</v>
      </c>
      <c r="C223">
        <v>0.9</v>
      </c>
      <c r="D223">
        <v>0.9</v>
      </c>
      <c r="E223">
        <v>1</v>
      </c>
      <c r="F223">
        <v>0.5</v>
      </c>
      <c r="G223">
        <v>0.2</v>
      </c>
      <c r="H223">
        <v>0.1</v>
      </c>
      <c r="I223">
        <v>0.2</v>
      </c>
      <c r="J223">
        <v>0</v>
      </c>
      <c r="K223">
        <v>0.3</v>
      </c>
      <c r="L223">
        <v>0.3</v>
      </c>
      <c r="M223">
        <v>0.6</v>
      </c>
      <c r="N223">
        <v>1.3</v>
      </c>
      <c r="O223">
        <v>19</v>
      </c>
    </row>
    <row r="224" spans="1:15">
      <c r="A224">
        <v>744860</v>
      </c>
      <c r="B224" t="s">
        <v>267</v>
      </c>
      <c r="C224">
        <v>8.4</v>
      </c>
      <c r="D224">
        <v>7.7</v>
      </c>
      <c r="E224">
        <v>8.4</v>
      </c>
      <c r="F224">
        <v>9.1999999999999993</v>
      </c>
      <c r="G224">
        <v>10</v>
      </c>
      <c r="H224">
        <v>8.5</v>
      </c>
      <c r="I224">
        <v>9.1999999999999993</v>
      </c>
      <c r="J224">
        <v>9.1</v>
      </c>
      <c r="K224">
        <v>7.5</v>
      </c>
      <c r="L224">
        <v>7.4</v>
      </c>
      <c r="M224">
        <v>7.2</v>
      </c>
      <c r="N224">
        <v>8.4</v>
      </c>
      <c r="O224">
        <v>20</v>
      </c>
    </row>
    <row r="225" spans="1:15">
      <c r="A225">
        <v>744860</v>
      </c>
      <c r="B225" t="s">
        <v>268</v>
      </c>
      <c r="C225">
        <v>0</v>
      </c>
      <c r="D225">
        <v>0</v>
      </c>
      <c r="E225">
        <v>0</v>
      </c>
      <c r="F225">
        <v>0</v>
      </c>
      <c r="G225">
        <v>0</v>
      </c>
      <c r="H225">
        <v>0</v>
      </c>
      <c r="I225">
        <v>0.1</v>
      </c>
      <c r="J225">
        <v>0</v>
      </c>
      <c r="K225">
        <v>0</v>
      </c>
      <c r="L225">
        <v>0</v>
      </c>
      <c r="M225">
        <v>0</v>
      </c>
      <c r="N225">
        <v>0</v>
      </c>
      <c r="O225">
        <v>21</v>
      </c>
    </row>
    <row r="226" spans="1:15">
      <c r="A226">
        <v>744860</v>
      </c>
      <c r="B226" t="s">
        <v>269</v>
      </c>
      <c r="C226">
        <v>0.3</v>
      </c>
      <c r="D226">
        <v>0.3</v>
      </c>
      <c r="E226">
        <v>0.8</v>
      </c>
      <c r="F226">
        <v>2</v>
      </c>
      <c r="G226">
        <v>3.7</v>
      </c>
      <c r="H226">
        <v>4.5999999999999996</v>
      </c>
      <c r="I226">
        <v>5.7</v>
      </c>
      <c r="J226">
        <v>4.4000000000000004</v>
      </c>
      <c r="K226">
        <v>2.1</v>
      </c>
      <c r="L226">
        <v>0.8</v>
      </c>
      <c r="M226">
        <v>0.5</v>
      </c>
      <c r="N226">
        <v>0.2</v>
      </c>
      <c r="O226">
        <v>22</v>
      </c>
    </row>
    <row r="227" spans="1:15">
      <c r="A227">
        <v>744860</v>
      </c>
      <c r="B227" t="s">
        <v>270</v>
      </c>
      <c r="C227">
        <v>0</v>
      </c>
      <c r="D227">
        <v>0</v>
      </c>
      <c r="E227">
        <v>0.3</v>
      </c>
      <c r="F227">
        <v>1.5</v>
      </c>
      <c r="G227">
        <v>7.2</v>
      </c>
      <c r="H227">
        <v>21.8</v>
      </c>
      <c r="I227">
        <v>29</v>
      </c>
      <c r="J227">
        <v>28.9</v>
      </c>
      <c r="K227">
        <v>17.399999999999999</v>
      </c>
      <c r="L227">
        <v>2.6</v>
      </c>
      <c r="M227">
        <v>0.1</v>
      </c>
      <c r="N227">
        <v>0</v>
      </c>
      <c r="O227">
        <v>23</v>
      </c>
    </row>
    <row r="228" spans="1:15">
      <c r="A228">
        <v>744860</v>
      </c>
      <c r="B228" t="s">
        <v>271</v>
      </c>
      <c r="C228">
        <v>0</v>
      </c>
      <c r="D228">
        <v>0</v>
      </c>
      <c r="E228">
        <v>0</v>
      </c>
      <c r="F228">
        <v>0</v>
      </c>
      <c r="G228">
        <v>0.3</v>
      </c>
      <c r="H228">
        <v>4.8</v>
      </c>
      <c r="I228">
        <v>17.8</v>
      </c>
      <c r="J228">
        <v>16.2</v>
      </c>
      <c r="K228">
        <v>4.7</v>
      </c>
      <c r="L228">
        <v>0.1</v>
      </c>
      <c r="M228">
        <v>0</v>
      </c>
      <c r="N228">
        <v>0</v>
      </c>
      <c r="O228">
        <v>24</v>
      </c>
    </row>
    <row r="229" spans="1:15">
      <c r="A229">
        <v>744860</v>
      </c>
      <c r="B229" t="s">
        <v>272</v>
      </c>
      <c r="C229">
        <v>23.4</v>
      </c>
      <c r="D229">
        <v>20.6</v>
      </c>
      <c r="E229">
        <v>13.8</v>
      </c>
      <c r="F229">
        <v>1.6</v>
      </c>
      <c r="G229">
        <v>0</v>
      </c>
      <c r="H229">
        <v>0</v>
      </c>
      <c r="I229">
        <v>0</v>
      </c>
      <c r="J229">
        <v>0</v>
      </c>
      <c r="K229">
        <v>0</v>
      </c>
      <c r="L229">
        <v>0.1</v>
      </c>
      <c r="M229">
        <v>4.0999999999999996</v>
      </c>
      <c r="N229">
        <v>16.2</v>
      </c>
      <c r="O229">
        <v>25</v>
      </c>
    </row>
    <row r="230" spans="1:15">
      <c r="A230">
        <v>744860</v>
      </c>
      <c r="B230" t="s">
        <v>240</v>
      </c>
      <c r="C230">
        <v>5.4</v>
      </c>
      <c r="D230">
        <v>4.3</v>
      </c>
      <c r="E230">
        <v>4.5</v>
      </c>
      <c r="F230">
        <v>7.3</v>
      </c>
      <c r="G230">
        <v>11.4</v>
      </c>
      <c r="H230">
        <v>18.100000000000001</v>
      </c>
      <c r="I230">
        <v>22.3</v>
      </c>
      <c r="J230">
        <v>23.4</v>
      </c>
      <c r="K230">
        <v>21.2</v>
      </c>
      <c r="L230">
        <v>17.3</v>
      </c>
      <c r="M230">
        <v>12.4</v>
      </c>
      <c r="N230">
        <v>8.4</v>
      </c>
      <c r="O230">
        <v>26</v>
      </c>
    </row>
    <row r="231" spans="1:15">
      <c r="A231">
        <v>744860</v>
      </c>
      <c r="B231" t="s">
        <v>305</v>
      </c>
      <c r="C231">
        <v>16</v>
      </c>
      <c r="D231">
        <v>21</v>
      </c>
      <c r="E231">
        <v>8.9</v>
      </c>
      <c r="F231">
        <v>2</v>
      </c>
      <c r="G231">
        <v>0</v>
      </c>
      <c r="H231">
        <v>0</v>
      </c>
      <c r="I231">
        <v>0</v>
      </c>
      <c r="J231">
        <v>0</v>
      </c>
      <c r="K231">
        <v>0</v>
      </c>
      <c r="L231">
        <v>0</v>
      </c>
      <c r="M231">
        <v>0.51</v>
      </c>
      <c r="N231">
        <v>12</v>
      </c>
      <c r="O231">
        <v>27</v>
      </c>
    </row>
    <row r="233" spans="1:15">
      <c r="A233">
        <v>788970</v>
      </c>
      <c r="B233" t="s">
        <v>252</v>
      </c>
      <c r="C233">
        <v>31.7</v>
      </c>
      <c r="D233">
        <v>31.4</v>
      </c>
      <c r="E233">
        <v>32.299999999999997</v>
      </c>
      <c r="F233">
        <v>33.299999999999997</v>
      </c>
      <c r="G233">
        <v>35.9</v>
      </c>
      <c r="H233">
        <v>33.4</v>
      </c>
      <c r="I233">
        <v>37.4</v>
      </c>
      <c r="J233">
        <v>34.200000000000003</v>
      </c>
      <c r="K233">
        <v>34.1</v>
      </c>
      <c r="L233">
        <v>34.1</v>
      </c>
      <c r="M233">
        <v>33.200000000000003</v>
      </c>
      <c r="N233">
        <v>33</v>
      </c>
      <c r="O233">
        <v>1</v>
      </c>
    </row>
    <row r="234" spans="1:15">
      <c r="A234">
        <v>788970</v>
      </c>
      <c r="B234" t="s">
        <v>253</v>
      </c>
      <c r="C234">
        <v>29.6</v>
      </c>
      <c r="D234">
        <v>29.5</v>
      </c>
      <c r="E234">
        <v>29.9</v>
      </c>
      <c r="F234">
        <v>30.5</v>
      </c>
      <c r="G234">
        <v>31.2</v>
      </c>
      <c r="H234">
        <v>31.7</v>
      </c>
      <c r="I234">
        <v>32</v>
      </c>
      <c r="J234">
        <v>32.299999999999997</v>
      </c>
      <c r="K234">
        <v>32.200000000000003</v>
      </c>
      <c r="L234">
        <v>31.7</v>
      </c>
      <c r="M234">
        <v>31</v>
      </c>
      <c r="N234">
        <v>30.1</v>
      </c>
      <c r="O234">
        <v>2</v>
      </c>
    </row>
    <row r="235" spans="1:15">
      <c r="A235">
        <v>788970</v>
      </c>
      <c r="B235" t="s">
        <v>254</v>
      </c>
      <c r="C235">
        <v>24.4</v>
      </c>
      <c r="D235">
        <v>24.4</v>
      </c>
      <c r="E235">
        <v>24.9</v>
      </c>
      <c r="F235">
        <v>25.9</v>
      </c>
      <c r="G235">
        <v>26.8</v>
      </c>
      <c r="H235">
        <v>27.5</v>
      </c>
      <c r="I235">
        <v>27.6</v>
      </c>
      <c r="J235">
        <v>27.7</v>
      </c>
      <c r="K235">
        <v>27.3</v>
      </c>
      <c r="L235">
        <v>26.8</v>
      </c>
      <c r="M235">
        <v>25.9</v>
      </c>
      <c r="N235">
        <v>25</v>
      </c>
      <c r="O235">
        <v>3</v>
      </c>
    </row>
    <row r="236" spans="1:15">
      <c r="A236">
        <v>788970</v>
      </c>
      <c r="B236" t="s">
        <v>255</v>
      </c>
      <c r="C236">
        <v>19.899999999999999</v>
      </c>
      <c r="D236">
        <v>19.8</v>
      </c>
      <c r="E236">
        <v>20.3</v>
      </c>
      <c r="F236">
        <v>21.5</v>
      </c>
      <c r="G236">
        <v>23.1</v>
      </c>
      <c r="H236">
        <v>23.9</v>
      </c>
      <c r="I236">
        <v>23.8</v>
      </c>
      <c r="J236">
        <v>23.7</v>
      </c>
      <c r="K236">
        <v>23.4</v>
      </c>
      <c r="L236">
        <v>22.9</v>
      </c>
      <c r="M236">
        <v>22</v>
      </c>
      <c r="N236">
        <v>20.7</v>
      </c>
      <c r="O236">
        <v>4</v>
      </c>
    </row>
    <row r="237" spans="1:15">
      <c r="A237">
        <v>788970</v>
      </c>
      <c r="B237" t="s">
        <v>256</v>
      </c>
      <c r="C237">
        <v>2</v>
      </c>
      <c r="D237">
        <v>1</v>
      </c>
      <c r="E237">
        <v>5</v>
      </c>
      <c r="F237">
        <v>3</v>
      </c>
      <c r="G237">
        <v>19.3</v>
      </c>
      <c r="H237">
        <v>21</v>
      </c>
      <c r="I237">
        <v>20</v>
      </c>
      <c r="J237">
        <v>20</v>
      </c>
      <c r="K237">
        <v>16</v>
      </c>
      <c r="L237">
        <v>19.399999999999999</v>
      </c>
      <c r="M237">
        <v>10</v>
      </c>
      <c r="N237">
        <v>14.9</v>
      </c>
      <c r="O237">
        <v>5</v>
      </c>
    </row>
    <row r="238" spans="1:15">
      <c r="A238">
        <v>788970</v>
      </c>
      <c r="B238" t="s">
        <v>257</v>
      </c>
      <c r="C238">
        <v>20.5</v>
      </c>
      <c r="D238">
        <v>19.8</v>
      </c>
      <c r="E238">
        <v>20.100000000000001</v>
      </c>
      <c r="F238">
        <v>21</v>
      </c>
      <c r="G238">
        <v>22.2</v>
      </c>
      <c r="H238">
        <v>22.8</v>
      </c>
      <c r="I238">
        <v>23.1</v>
      </c>
      <c r="J238">
        <v>23.5</v>
      </c>
      <c r="K238">
        <v>23.6</v>
      </c>
      <c r="L238">
        <v>23.4</v>
      </c>
      <c r="M238">
        <v>22.6</v>
      </c>
      <c r="N238">
        <v>21.4</v>
      </c>
      <c r="O238">
        <v>6</v>
      </c>
    </row>
    <row r="239" spans="1:15">
      <c r="A239">
        <v>788970</v>
      </c>
      <c r="B239" t="s">
        <v>159</v>
      </c>
      <c r="C239">
        <v>79</v>
      </c>
      <c r="D239">
        <v>76.099999999999994</v>
      </c>
      <c r="E239">
        <v>74.8</v>
      </c>
      <c r="F239">
        <v>74.900000000000006</v>
      </c>
      <c r="G239">
        <v>76.099999999999994</v>
      </c>
      <c r="H239">
        <v>75.599999999999994</v>
      </c>
      <c r="I239">
        <v>76.599999999999994</v>
      </c>
      <c r="J239">
        <v>78.099999999999994</v>
      </c>
      <c r="K239">
        <v>80.3</v>
      </c>
      <c r="L239">
        <v>82.1</v>
      </c>
      <c r="M239">
        <v>82.5</v>
      </c>
      <c r="N239">
        <v>80.599999999999994</v>
      </c>
      <c r="O239">
        <v>7</v>
      </c>
    </row>
    <row r="240" spans="1:15">
      <c r="A240">
        <v>788970</v>
      </c>
      <c r="B240" t="s">
        <v>258</v>
      </c>
      <c r="C240">
        <v>58.4</v>
      </c>
      <c r="D240">
        <v>56.4</v>
      </c>
      <c r="E240">
        <v>55.9</v>
      </c>
      <c r="F240">
        <v>57.2</v>
      </c>
      <c r="G240">
        <v>59.2</v>
      </c>
      <c r="H240">
        <v>59.3</v>
      </c>
      <c r="I240">
        <v>59.6</v>
      </c>
      <c r="J240">
        <v>59.9</v>
      </c>
      <c r="K240">
        <v>60.8</v>
      </c>
      <c r="L240">
        <v>61.7</v>
      </c>
      <c r="M240">
        <v>61.5</v>
      </c>
      <c r="N240">
        <v>59.9</v>
      </c>
      <c r="O240">
        <v>8</v>
      </c>
    </row>
    <row r="241" spans="1:15">
      <c r="A241">
        <v>788970</v>
      </c>
      <c r="B241" t="s">
        <v>259</v>
      </c>
      <c r="C241">
        <v>24.2</v>
      </c>
      <c r="D241">
        <v>23.2</v>
      </c>
      <c r="E241">
        <v>23.5</v>
      </c>
      <c r="F241">
        <v>25</v>
      </c>
      <c r="G241">
        <v>26.8</v>
      </c>
      <c r="H241">
        <v>27.8</v>
      </c>
      <c r="I241">
        <v>28.3</v>
      </c>
      <c r="J241">
        <v>29</v>
      </c>
      <c r="K241">
        <v>29.2</v>
      </c>
      <c r="L241">
        <v>28.8</v>
      </c>
      <c r="M241">
        <v>27.5</v>
      </c>
      <c r="N241">
        <v>25.5</v>
      </c>
      <c r="O241">
        <v>9</v>
      </c>
    </row>
    <row r="242" spans="1:15">
      <c r="A242">
        <v>788970</v>
      </c>
      <c r="B242" t="s">
        <v>260</v>
      </c>
      <c r="C242">
        <v>63.4</v>
      </c>
      <c r="D242">
        <v>75</v>
      </c>
      <c r="E242">
        <v>54.7</v>
      </c>
      <c r="F242">
        <v>82.8</v>
      </c>
      <c r="G242">
        <v>96.2</v>
      </c>
      <c r="H242">
        <v>109.5</v>
      </c>
      <c r="I242">
        <v>92.2</v>
      </c>
      <c r="J242">
        <v>107</v>
      </c>
      <c r="K242">
        <v>175.9</v>
      </c>
      <c r="L242">
        <v>199.3</v>
      </c>
      <c r="M242">
        <v>157.80000000000001</v>
      </c>
      <c r="N242">
        <v>135.6</v>
      </c>
      <c r="O242">
        <v>10</v>
      </c>
    </row>
    <row r="243" spans="1:15">
      <c r="A243">
        <v>788970</v>
      </c>
      <c r="B243" t="s">
        <v>261</v>
      </c>
      <c r="C243">
        <v>29.7</v>
      </c>
      <c r="D243">
        <v>258.10000000000002</v>
      </c>
      <c r="E243">
        <v>36.799999999999997</v>
      </c>
      <c r="F243">
        <v>109.7</v>
      </c>
      <c r="G243">
        <v>71.900000000000006</v>
      </c>
      <c r="H243">
        <v>490</v>
      </c>
      <c r="I243">
        <v>39.9</v>
      </c>
      <c r="J243">
        <v>68.3</v>
      </c>
      <c r="K243">
        <v>395</v>
      </c>
      <c r="L243">
        <v>490</v>
      </c>
      <c r="M243">
        <v>300</v>
      </c>
      <c r="N243">
        <v>84.3</v>
      </c>
      <c r="O243">
        <v>11</v>
      </c>
    </row>
    <row r="244" spans="1:15">
      <c r="A244">
        <v>788970</v>
      </c>
      <c r="B244" t="s">
        <v>262</v>
      </c>
      <c r="C244">
        <v>1016.1</v>
      </c>
      <c r="D244">
        <v>1016.5</v>
      </c>
      <c r="E244">
        <v>1015.7</v>
      </c>
      <c r="F244">
        <v>1014.9</v>
      </c>
      <c r="G244">
        <v>1015.1</v>
      </c>
      <c r="H244">
        <v>1016.3</v>
      </c>
      <c r="I244">
        <v>1016.2</v>
      </c>
      <c r="J244">
        <v>1015.1</v>
      </c>
      <c r="K244">
        <v>1013.6</v>
      </c>
      <c r="L244">
        <v>1013.2</v>
      </c>
      <c r="M244">
        <v>1013.1</v>
      </c>
      <c r="N244">
        <v>1015</v>
      </c>
      <c r="O244">
        <v>12</v>
      </c>
    </row>
    <row r="245" spans="1:15">
      <c r="A245">
        <v>788970</v>
      </c>
      <c r="B245" t="s">
        <v>263</v>
      </c>
      <c r="C245">
        <v>14.2</v>
      </c>
      <c r="D245">
        <v>14.4</v>
      </c>
      <c r="E245">
        <v>14.7</v>
      </c>
      <c r="F245">
        <v>14.2</v>
      </c>
      <c r="G245">
        <v>13.6</v>
      </c>
      <c r="H245">
        <v>12.9</v>
      </c>
      <c r="I245">
        <v>12.9</v>
      </c>
      <c r="J245">
        <v>13.2</v>
      </c>
      <c r="K245">
        <v>13.3</v>
      </c>
      <c r="L245">
        <v>14.1</v>
      </c>
      <c r="M245">
        <v>14</v>
      </c>
      <c r="N245">
        <v>14.4</v>
      </c>
      <c r="O245">
        <v>13</v>
      </c>
    </row>
    <row r="246" spans="1:15">
      <c r="A246">
        <v>788970</v>
      </c>
      <c r="B246" t="s">
        <v>264</v>
      </c>
      <c r="C246">
        <v>3.3</v>
      </c>
      <c r="D246">
        <v>3.7</v>
      </c>
      <c r="E246">
        <v>3.5</v>
      </c>
      <c r="F246">
        <v>3.7</v>
      </c>
      <c r="G246">
        <v>3.9</v>
      </c>
      <c r="H246">
        <v>4.0999999999999996</v>
      </c>
      <c r="I246">
        <v>3.9</v>
      </c>
      <c r="J246">
        <v>3.4</v>
      </c>
      <c r="K246">
        <v>3</v>
      </c>
      <c r="L246">
        <v>2.6</v>
      </c>
      <c r="M246">
        <v>2.6</v>
      </c>
      <c r="N246">
        <v>2.9</v>
      </c>
      <c r="O246">
        <v>14</v>
      </c>
    </row>
    <row r="247" spans="1:15">
      <c r="A247">
        <v>788970</v>
      </c>
      <c r="B247" t="s">
        <v>160</v>
      </c>
      <c r="C247" s="365">
        <v>192.4</v>
      </c>
      <c r="D247" s="365">
        <v>182.7</v>
      </c>
      <c r="E247" s="365">
        <v>217.5</v>
      </c>
      <c r="F247" s="365">
        <v>211.4</v>
      </c>
      <c r="G247" s="365">
        <v>212.7</v>
      </c>
      <c r="H247" s="365">
        <v>206.5</v>
      </c>
      <c r="I247" s="365">
        <v>198.3</v>
      </c>
      <c r="J247" s="365">
        <v>221.5</v>
      </c>
      <c r="K247" s="365">
        <v>200.6</v>
      </c>
      <c r="L247" s="365">
        <v>181.7</v>
      </c>
      <c r="M247" s="365">
        <v>181.4</v>
      </c>
      <c r="N247" s="365">
        <v>189.1</v>
      </c>
      <c r="O247">
        <v>15</v>
      </c>
    </row>
    <row r="248" spans="1:15">
      <c r="A248">
        <v>788970</v>
      </c>
      <c r="B248" t="s">
        <v>161</v>
      </c>
      <c r="C248" s="365">
        <v>6.2064516129032263</v>
      </c>
      <c r="D248" s="365">
        <v>6.5249999999999995</v>
      </c>
      <c r="E248" s="365">
        <v>7.0161290322580649</v>
      </c>
      <c r="F248" s="365">
        <v>7.0466666666666669</v>
      </c>
      <c r="G248" s="365">
        <v>6.8612903225806452</v>
      </c>
      <c r="H248" s="365">
        <v>6.8833333333333337</v>
      </c>
      <c r="I248" s="365">
        <v>6.3967741935483877</v>
      </c>
      <c r="J248" s="365">
        <v>7.145161290322581</v>
      </c>
      <c r="K248" s="365">
        <v>6.6866666666666665</v>
      </c>
      <c r="L248" s="365">
        <v>5.8612903225806452</v>
      </c>
      <c r="M248" s="365">
        <v>6.0466666666666669</v>
      </c>
      <c r="N248" s="365">
        <v>6.1</v>
      </c>
      <c r="O248">
        <v>16</v>
      </c>
    </row>
    <row r="249" spans="1:15">
      <c r="A249">
        <v>788970</v>
      </c>
      <c r="B249" t="s">
        <v>249</v>
      </c>
      <c r="C249">
        <v>21.4</v>
      </c>
      <c r="D249">
        <v>16</v>
      </c>
      <c r="E249">
        <v>15.4</v>
      </c>
      <c r="F249">
        <v>14.2</v>
      </c>
      <c r="G249">
        <v>16.100000000000001</v>
      </c>
      <c r="H249">
        <v>16.399999999999999</v>
      </c>
      <c r="I249">
        <v>18.100000000000001</v>
      </c>
      <c r="J249">
        <v>20.2</v>
      </c>
      <c r="K249">
        <v>19.399999999999999</v>
      </c>
      <c r="L249">
        <v>20.2</v>
      </c>
      <c r="M249">
        <v>21.3</v>
      </c>
      <c r="N249">
        <v>20.8</v>
      </c>
      <c r="O249">
        <v>17</v>
      </c>
    </row>
    <row r="250" spans="1:15">
      <c r="A250">
        <v>788970</v>
      </c>
      <c r="B250" t="s">
        <v>265</v>
      </c>
      <c r="C250">
        <v>0</v>
      </c>
      <c r="D250">
        <v>0</v>
      </c>
      <c r="E250">
        <v>0</v>
      </c>
      <c r="F250">
        <v>0</v>
      </c>
      <c r="G250">
        <v>0</v>
      </c>
      <c r="H250">
        <v>0</v>
      </c>
      <c r="I250">
        <v>0</v>
      </c>
      <c r="J250">
        <v>0</v>
      </c>
      <c r="K250">
        <v>0</v>
      </c>
      <c r="L250">
        <v>0</v>
      </c>
      <c r="M250">
        <v>0</v>
      </c>
      <c r="N250">
        <v>0</v>
      </c>
      <c r="O250">
        <v>18</v>
      </c>
    </row>
    <row r="251" spans="1:15">
      <c r="A251">
        <v>788970</v>
      </c>
      <c r="B251" t="s">
        <v>266</v>
      </c>
      <c r="C251">
        <v>0</v>
      </c>
      <c r="D251">
        <v>0</v>
      </c>
      <c r="E251">
        <v>0</v>
      </c>
      <c r="F251">
        <v>0</v>
      </c>
      <c r="G251">
        <v>0</v>
      </c>
      <c r="H251">
        <v>0.1</v>
      </c>
      <c r="I251">
        <v>0.1</v>
      </c>
      <c r="J251">
        <v>0</v>
      </c>
      <c r="K251">
        <v>0.3</v>
      </c>
      <c r="L251">
        <v>0</v>
      </c>
      <c r="M251">
        <v>0</v>
      </c>
      <c r="N251">
        <v>0</v>
      </c>
      <c r="O251">
        <v>19</v>
      </c>
    </row>
    <row r="252" spans="1:15">
      <c r="A252">
        <v>788970</v>
      </c>
      <c r="B252" t="s">
        <v>267</v>
      </c>
      <c r="C252">
        <v>0.2</v>
      </c>
      <c r="D252">
        <v>0</v>
      </c>
      <c r="E252">
        <v>0</v>
      </c>
      <c r="F252">
        <v>0.1</v>
      </c>
      <c r="G252">
        <v>0.1</v>
      </c>
      <c r="H252">
        <v>0</v>
      </c>
      <c r="I252">
        <v>0.1</v>
      </c>
      <c r="J252">
        <v>0</v>
      </c>
      <c r="K252">
        <v>0.1</v>
      </c>
      <c r="L252">
        <v>0</v>
      </c>
      <c r="M252">
        <v>0</v>
      </c>
      <c r="N252">
        <v>0.2</v>
      </c>
      <c r="O252">
        <v>20</v>
      </c>
    </row>
    <row r="253" spans="1:15">
      <c r="A253">
        <v>788970</v>
      </c>
      <c r="B253" t="s">
        <v>268</v>
      </c>
      <c r="C253">
        <v>0.1</v>
      </c>
      <c r="D253">
        <v>0.1</v>
      </c>
      <c r="E253">
        <v>0</v>
      </c>
      <c r="F253">
        <v>0</v>
      </c>
      <c r="G253">
        <v>0</v>
      </c>
      <c r="H253">
        <v>0.1</v>
      </c>
      <c r="I253">
        <v>0.1</v>
      </c>
      <c r="J253">
        <v>0.1</v>
      </c>
      <c r="K253">
        <v>0</v>
      </c>
      <c r="L253">
        <v>0.1</v>
      </c>
      <c r="M253">
        <v>0</v>
      </c>
      <c r="N253">
        <v>0.1</v>
      </c>
      <c r="O253">
        <v>21</v>
      </c>
    </row>
    <row r="254" spans="1:15">
      <c r="A254">
        <v>788970</v>
      </c>
      <c r="B254" t="s">
        <v>269</v>
      </c>
      <c r="C254">
        <v>0.3</v>
      </c>
      <c r="D254">
        <v>0.2</v>
      </c>
      <c r="E254">
        <v>0.2</v>
      </c>
      <c r="F254">
        <v>0.7</v>
      </c>
      <c r="G254">
        <v>1.7</v>
      </c>
      <c r="H254">
        <v>2.5</v>
      </c>
      <c r="I254">
        <v>3.6</v>
      </c>
      <c r="J254">
        <v>4.5</v>
      </c>
      <c r="K254">
        <v>8.1</v>
      </c>
      <c r="L254">
        <v>7.1</v>
      </c>
      <c r="M254">
        <v>3.7</v>
      </c>
      <c r="N254">
        <v>0.8</v>
      </c>
      <c r="O254">
        <v>22</v>
      </c>
    </row>
    <row r="255" spans="1:15">
      <c r="A255">
        <v>788970</v>
      </c>
      <c r="B255" t="s">
        <v>270</v>
      </c>
      <c r="C255">
        <v>31</v>
      </c>
      <c r="D255">
        <v>0</v>
      </c>
      <c r="E255">
        <v>31</v>
      </c>
      <c r="F255">
        <v>0</v>
      </c>
      <c r="G255">
        <v>30.9</v>
      </c>
      <c r="H255">
        <v>0</v>
      </c>
      <c r="I255">
        <v>0</v>
      </c>
      <c r="J255">
        <v>0</v>
      </c>
      <c r="K255">
        <v>0</v>
      </c>
      <c r="L255">
        <v>0</v>
      </c>
      <c r="M255">
        <v>0</v>
      </c>
      <c r="N255">
        <v>0</v>
      </c>
      <c r="O255">
        <v>23</v>
      </c>
    </row>
    <row r="256" spans="1:15">
      <c r="A256">
        <v>788970</v>
      </c>
      <c r="B256" t="s">
        <v>271</v>
      </c>
      <c r="C256">
        <v>16.899999999999999</v>
      </c>
      <c r="D256">
        <v>14.6</v>
      </c>
      <c r="E256">
        <v>18.100000000000001</v>
      </c>
      <c r="F256">
        <v>25.9</v>
      </c>
      <c r="G256">
        <v>30.5</v>
      </c>
      <c r="H256">
        <v>29.7</v>
      </c>
      <c r="I256">
        <v>30.7</v>
      </c>
      <c r="J256">
        <v>30.7</v>
      </c>
      <c r="K256">
        <v>30</v>
      </c>
      <c r="L256">
        <v>30.9</v>
      </c>
      <c r="M256">
        <v>28.5</v>
      </c>
      <c r="N256">
        <v>21.3</v>
      </c>
      <c r="O256">
        <v>24</v>
      </c>
    </row>
    <row r="257" spans="1:15">
      <c r="A257">
        <v>788970</v>
      </c>
      <c r="B257" t="s">
        <v>272</v>
      </c>
      <c r="C257">
        <v>0</v>
      </c>
      <c r="D257">
        <v>0</v>
      </c>
      <c r="E257">
        <v>0</v>
      </c>
      <c r="F257">
        <v>0</v>
      </c>
      <c r="G257">
        <v>0</v>
      </c>
      <c r="H257">
        <v>0</v>
      </c>
      <c r="I257">
        <v>0</v>
      </c>
      <c r="J257">
        <v>0</v>
      </c>
      <c r="K257">
        <v>0</v>
      </c>
      <c r="L257">
        <v>0</v>
      </c>
      <c r="M257">
        <v>0</v>
      </c>
      <c r="N257">
        <v>0</v>
      </c>
      <c r="O257">
        <v>25</v>
      </c>
    </row>
    <row r="258" spans="1:15">
      <c r="A258">
        <v>788970</v>
      </c>
      <c r="B258" t="s">
        <v>240</v>
      </c>
      <c r="C258">
        <v>26.9</v>
      </c>
      <c r="D258">
        <v>26.6</v>
      </c>
      <c r="E258">
        <v>26.8</v>
      </c>
      <c r="F258">
        <v>27.4</v>
      </c>
      <c r="G258">
        <v>27.9</v>
      </c>
      <c r="H258">
        <v>28.6</v>
      </c>
      <c r="I258">
        <v>28.7</v>
      </c>
      <c r="J258">
        <v>29</v>
      </c>
      <c r="K258">
        <v>29.4</v>
      </c>
      <c r="L258">
        <v>29.1</v>
      </c>
      <c r="M258">
        <v>28.5</v>
      </c>
      <c r="N258">
        <v>27.6</v>
      </c>
      <c r="O258">
        <v>26</v>
      </c>
    </row>
    <row r="260" spans="1:15">
      <c r="A260">
        <v>855580</v>
      </c>
      <c r="B260" t="s">
        <v>252</v>
      </c>
      <c r="C260">
        <v>28.6</v>
      </c>
      <c r="D260">
        <v>28.8</v>
      </c>
      <c r="E260">
        <v>27.6</v>
      </c>
      <c r="F260">
        <v>24.4</v>
      </c>
      <c r="G260">
        <v>26</v>
      </c>
      <c r="H260">
        <v>24</v>
      </c>
      <c r="I260">
        <v>26</v>
      </c>
      <c r="J260">
        <v>25.2</v>
      </c>
      <c r="K260">
        <v>26.4</v>
      </c>
      <c r="L260">
        <v>28.5</v>
      </c>
      <c r="M260">
        <v>30.2</v>
      </c>
      <c r="N260">
        <v>26</v>
      </c>
      <c r="O260">
        <v>1</v>
      </c>
    </row>
    <row r="261" spans="1:15">
      <c r="A261">
        <v>855580</v>
      </c>
      <c r="B261" t="s">
        <v>253</v>
      </c>
      <c r="C261">
        <v>20.8</v>
      </c>
      <c r="D261">
        <v>21.2</v>
      </c>
      <c r="E261">
        <v>20.2</v>
      </c>
      <c r="F261">
        <v>18.8</v>
      </c>
      <c r="G261">
        <v>17</v>
      </c>
      <c r="H261">
        <v>15.8</v>
      </c>
      <c r="I261">
        <v>15.3</v>
      </c>
      <c r="J261">
        <v>15.8</v>
      </c>
      <c r="K261">
        <v>16.8</v>
      </c>
      <c r="L261">
        <v>17.399999999999999</v>
      </c>
      <c r="M261">
        <v>18.5</v>
      </c>
      <c r="N261">
        <v>20</v>
      </c>
      <c r="O261">
        <v>2</v>
      </c>
    </row>
    <row r="262" spans="1:15">
      <c r="A262">
        <v>855580</v>
      </c>
      <c r="B262" t="s">
        <v>254</v>
      </c>
      <c r="C262">
        <v>17.3</v>
      </c>
      <c r="D262">
        <v>17.399999999999999</v>
      </c>
      <c r="E262">
        <v>16.5</v>
      </c>
      <c r="F262">
        <v>14.9</v>
      </c>
      <c r="G262">
        <v>13.7</v>
      </c>
      <c r="H262">
        <v>12.5</v>
      </c>
      <c r="I262">
        <v>11.8</v>
      </c>
      <c r="J262">
        <v>12.4</v>
      </c>
      <c r="K262">
        <v>13</v>
      </c>
      <c r="L262">
        <v>13.9</v>
      </c>
      <c r="M262">
        <v>15</v>
      </c>
      <c r="N262">
        <v>16.2</v>
      </c>
      <c r="O262">
        <v>3</v>
      </c>
    </row>
    <row r="263" spans="1:15">
      <c r="A263">
        <v>855580</v>
      </c>
      <c r="B263" t="s">
        <v>255</v>
      </c>
      <c r="C263">
        <v>14.7</v>
      </c>
      <c r="D263">
        <v>14.7</v>
      </c>
      <c r="E263">
        <v>13.8</v>
      </c>
      <c r="F263">
        <v>12.1</v>
      </c>
      <c r="G263">
        <v>11.3</v>
      </c>
      <c r="H263">
        <v>10.1</v>
      </c>
      <c r="I263">
        <v>9.4</v>
      </c>
      <c r="J263">
        <v>10</v>
      </c>
      <c r="K263">
        <v>10.6</v>
      </c>
      <c r="L263">
        <v>11.3</v>
      </c>
      <c r="M263">
        <v>12.2</v>
      </c>
      <c r="N263">
        <v>13.4</v>
      </c>
      <c r="O263">
        <v>4</v>
      </c>
    </row>
    <row r="264" spans="1:15">
      <c r="A264">
        <v>855580</v>
      </c>
      <c r="B264" t="s">
        <v>256</v>
      </c>
      <c r="C264">
        <v>9.8000000000000007</v>
      </c>
      <c r="D264">
        <v>10</v>
      </c>
      <c r="E264">
        <v>7</v>
      </c>
      <c r="F264">
        <v>4.4000000000000004</v>
      </c>
      <c r="G264">
        <v>0.9</v>
      </c>
      <c r="H264">
        <v>5.8</v>
      </c>
      <c r="I264">
        <v>0.9</v>
      </c>
      <c r="J264">
        <v>5.5</v>
      </c>
      <c r="K264">
        <v>5.6</v>
      </c>
      <c r="L264">
        <v>7.4</v>
      </c>
      <c r="M264">
        <v>8.8000000000000007</v>
      </c>
      <c r="N264">
        <v>9.1999999999999993</v>
      </c>
      <c r="O264">
        <v>5</v>
      </c>
    </row>
    <row r="265" spans="1:15">
      <c r="A265">
        <v>855580</v>
      </c>
      <c r="B265" t="s">
        <v>257</v>
      </c>
      <c r="C265">
        <v>13.8</v>
      </c>
      <c r="D265">
        <v>13.9</v>
      </c>
      <c r="E265">
        <v>13.1</v>
      </c>
      <c r="F265">
        <v>11.6</v>
      </c>
      <c r="G265">
        <v>10.9</v>
      </c>
      <c r="H265">
        <v>9.5</v>
      </c>
      <c r="I265">
        <v>8.9</v>
      </c>
      <c r="J265">
        <v>9.3000000000000007</v>
      </c>
      <c r="K265">
        <v>9.8000000000000007</v>
      </c>
      <c r="L265">
        <v>10.3</v>
      </c>
      <c r="M265">
        <v>11.3</v>
      </c>
      <c r="N265">
        <v>12.8</v>
      </c>
      <c r="O265">
        <v>6</v>
      </c>
    </row>
    <row r="266" spans="1:15">
      <c r="A266">
        <v>855580</v>
      </c>
      <c r="B266" t="s">
        <v>159</v>
      </c>
      <c r="C266">
        <v>79.900000000000006</v>
      </c>
      <c r="D266">
        <v>80.099999999999994</v>
      </c>
      <c r="E266">
        <v>80.400000000000006</v>
      </c>
      <c r="F266">
        <v>81.3</v>
      </c>
      <c r="G266">
        <v>83.6</v>
      </c>
      <c r="H266">
        <v>82.5</v>
      </c>
      <c r="I266">
        <v>82.4</v>
      </c>
      <c r="J266">
        <v>81.7</v>
      </c>
      <c r="K266">
        <v>80.900000000000006</v>
      </c>
      <c r="L266">
        <v>79.5</v>
      </c>
      <c r="M266">
        <v>78.8</v>
      </c>
      <c r="N266">
        <v>80.3</v>
      </c>
      <c r="O266">
        <v>7</v>
      </c>
    </row>
    <row r="267" spans="1:15">
      <c r="A267">
        <v>855580</v>
      </c>
      <c r="B267" t="s">
        <v>258</v>
      </c>
      <c r="C267">
        <v>64.2</v>
      </c>
      <c r="D267">
        <v>63.5</v>
      </c>
      <c r="E267">
        <v>64.3</v>
      </c>
      <c r="F267">
        <v>63.9</v>
      </c>
      <c r="G267">
        <v>68.2</v>
      </c>
      <c r="H267">
        <v>67.2</v>
      </c>
      <c r="I267">
        <v>66.3</v>
      </c>
      <c r="J267">
        <v>66.2</v>
      </c>
      <c r="K267">
        <v>64.2</v>
      </c>
      <c r="L267">
        <v>63.9</v>
      </c>
      <c r="M267">
        <v>63</v>
      </c>
      <c r="N267">
        <v>63.1</v>
      </c>
      <c r="O267">
        <v>8</v>
      </c>
    </row>
    <row r="268" spans="1:15">
      <c r="A268">
        <v>855580</v>
      </c>
      <c r="B268" t="s">
        <v>259</v>
      </c>
      <c r="C268">
        <v>15.9</v>
      </c>
      <c r="D268">
        <v>16</v>
      </c>
      <c r="E268">
        <v>15.1</v>
      </c>
      <c r="F268">
        <v>13.7</v>
      </c>
      <c r="G268">
        <v>13.1</v>
      </c>
      <c r="H268">
        <v>12</v>
      </c>
      <c r="I268">
        <v>11.5</v>
      </c>
      <c r="J268">
        <v>11.8</v>
      </c>
      <c r="K268">
        <v>12.2</v>
      </c>
      <c r="L268">
        <v>12.6</v>
      </c>
      <c r="M268">
        <v>13.4</v>
      </c>
      <c r="N268">
        <v>14.9</v>
      </c>
      <c r="O268">
        <v>9</v>
      </c>
    </row>
    <row r="269" spans="1:15">
      <c r="A269">
        <v>855580</v>
      </c>
      <c r="B269" t="s">
        <v>260</v>
      </c>
      <c r="C269">
        <v>0.4</v>
      </c>
      <c r="D269">
        <v>0</v>
      </c>
      <c r="E269">
        <v>3.7</v>
      </c>
      <c r="F269">
        <v>13.3</v>
      </c>
      <c r="G269">
        <v>54.5</v>
      </c>
      <c r="H269">
        <v>83.1</v>
      </c>
      <c r="I269">
        <v>111.2</v>
      </c>
      <c r="J269">
        <v>60</v>
      </c>
      <c r="K269">
        <v>26.7</v>
      </c>
      <c r="L269">
        <v>10.4</v>
      </c>
      <c r="M269">
        <v>7.9</v>
      </c>
      <c r="N269">
        <v>1.3</v>
      </c>
      <c r="O269">
        <v>10</v>
      </c>
    </row>
    <row r="270" spans="1:15">
      <c r="A270">
        <v>855580</v>
      </c>
      <c r="B270" t="s">
        <v>261</v>
      </c>
      <c r="C270">
        <v>1.5</v>
      </c>
      <c r="D270">
        <v>0.3</v>
      </c>
      <c r="E270">
        <v>10.9</v>
      </c>
      <c r="F270">
        <v>35.299999999999997</v>
      </c>
      <c r="G270">
        <v>29.5</v>
      </c>
      <c r="H270">
        <v>51.1</v>
      </c>
      <c r="I270">
        <v>39</v>
      </c>
      <c r="J270">
        <v>46.7</v>
      </c>
      <c r="K270">
        <v>51.1</v>
      </c>
      <c r="L270">
        <v>47.2</v>
      </c>
      <c r="M270">
        <v>30</v>
      </c>
      <c r="N270">
        <v>19.3</v>
      </c>
      <c r="O270">
        <v>11</v>
      </c>
    </row>
    <row r="271" spans="1:15">
      <c r="A271">
        <v>855580</v>
      </c>
      <c r="B271" t="s">
        <v>262</v>
      </c>
      <c r="C271">
        <v>1014.4</v>
      </c>
      <c r="D271">
        <v>1013.7</v>
      </c>
      <c r="E271">
        <v>1014.5</v>
      </c>
      <c r="F271">
        <v>1016</v>
      </c>
      <c r="G271">
        <v>1017.4</v>
      </c>
      <c r="H271">
        <v>1018.5</v>
      </c>
      <c r="I271">
        <v>1019.5</v>
      </c>
      <c r="J271">
        <v>1019.2</v>
      </c>
      <c r="K271">
        <v>1019</v>
      </c>
      <c r="L271">
        <v>1017.8</v>
      </c>
      <c r="M271">
        <v>1016.3</v>
      </c>
      <c r="N271">
        <v>1015</v>
      </c>
      <c r="O271">
        <v>12</v>
      </c>
    </row>
    <row r="272" spans="1:15">
      <c r="A272">
        <v>855580</v>
      </c>
      <c r="B272" t="s">
        <v>263</v>
      </c>
      <c r="C272">
        <v>10.199999999999999</v>
      </c>
      <c r="D272">
        <v>10.199999999999999</v>
      </c>
      <c r="E272">
        <v>9.9</v>
      </c>
      <c r="F272">
        <v>9.3000000000000007</v>
      </c>
      <c r="G272">
        <v>8.6999999999999993</v>
      </c>
      <c r="H272">
        <v>9.1</v>
      </c>
      <c r="I272">
        <v>9.1999999999999993</v>
      </c>
      <c r="J272">
        <v>9.1999999999999993</v>
      </c>
      <c r="K272">
        <v>9.1999999999999993</v>
      </c>
      <c r="L272">
        <v>10.6</v>
      </c>
      <c r="M272">
        <v>10.6</v>
      </c>
      <c r="N272">
        <v>10.8</v>
      </c>
      <c r="O272">
        <v>13</v>
      </c>
    </row>
    <row r="273" spans="1:15">
      <c r="A273">
        <v>855580</v>
      </c>
      <c r="B273" t="s">
        <v>264</v>
      </c>
      <c r="C273">
        <v>3.5</v>
      </c>
      <c r="D273">
        <v>3.1</v>
      </c>
      <c r="E273">
        <v>2.7</v>
      </c>
      <c r="F273">
        <v>2.6</v>
      </c>
      <c r="G273">
        <v>2.5</v>
      </c>
      <c r="H273">
        <v>2.7</v>
      </c>
      <c r="I273">
        <v>2.8</v>
      </c>
      <c r="J273">
        <v>2.9</v>
      </c>
      <c r="K273">
        <v>3</v>
      </c>
      <c r="L273">
        <v>3.3</v>
      </c>
      <c r="M273">
        <v>3.7</v>
      </c>
      <c r="N273">
        <v>3.8</v>
      </c>
      <c r="O273">
        <v>14</v>
      </c>
    </row>
    <row r="274" spans="1:15">
      <c r="A274">
        <v>855580</v>
      </c>
      <c r="B274" t="s">
        <v>160</v>
      </c>
      <c r="C274">
        <v>279</v>
      </c>
      <c r="D274">
        <v>245.7</v>
      </c>
      <c r="E274">
        <v>217</v>
      </c>
      <c r="F274">
        <v>174</v>
      </c>
      <c r="G274">
        <v>114.7</v>
      </c>
      <c r="H274">
        <v>81</v>
      </c>
      <c r="I274">
        <v>93</v>
      </c>
      <c r="J274">
        <v>117.8</v>
      </c>
      <c r="K274">
        <v>147</v>
      </c>
      <c r="L274">
        <v>170.5</v>
      </c>
      <c r="M274">
        <v>216</v>
      </c>
      <c r="N274">
        <v>263.5</v>
      </c>
      <c r="O274">
        <v>15</v>
      </c>
    </row>
    <row r="275" spans="1:15">
      <c r="A275">
        <v>855580</v>
      </c>
      <c r="B275" t="s">
        <v>161</v>
      </c>
      <c r="C275">
        <v>9</v>
      </c>
      <c r="D275">
        <v>8.7750000000000004</v>
      </c>
      <c r="E275">
        <v>7</v>
      </c>
      <c r="F275">
        <v>5.8</v>
      </c>
      <c r="G275">
        <v>3.7</v>
      </c>
      <c r="H275">
        <v>2.7</v>
      </c>
      <c r="I275">
        <v>3</v>
      </c>
      <c r="J275">
        <v>3.8</v>
      </c>
      <c r="K275">
        <v>4.9000000000000004</v>
      </c>
      <c r="L275">
        <v>5.5</v>
      </c>
      <c r="M275">
        <v>7.2</v>
      </c>
      <c r="N275">
        <v>8.5</v>
      </c>
      <c r="O275">
        <v>16</v>
      </c>
    </row>
    <row r="276" spans="1:15">
      <c r="A276">
        <v>855580</v>
      </c>
      <c r="B276" t="s">
        <v>249</v>
      </c>
      <c r="C276">
        <v>1</v>
      </c>
      <c r="D276">
        <v>0.3</v>
      </c>
      <c r="E276">
        <v>0.3</v>
      </c>
      <c r="F276">
        <v>1.9</v>
      </c>
      <c r="G276">
        <v>5.3</v>
      </c>
      <c r="H276">
        <v>5.5</v>
      </c>
      <c r="I276">
        <v>4.8</v>
      </c>
      <c r="J276">
        <v>3.8</v>
      </c>
      <c r="K276">
        <v>2.2000000000000002</v>
      </c>
      <c r="L276">
        <v>2.2999999999999998</v>
      </c>
      <c r="M276">
        <v>1.4</v>
      </c>
      <c r="N276">
        <v>1.1000000000000001</v>
      </c>
      <c r="O276">
        <v>17</v>
      </c>
    </row>
    <row r="277" spans="1:15">
      <c r="A277">
        <v>855580</v>
      </c>
      <c r="B277" t="s">
        <v>265</v>
      </c>
      <c r="C277">
        <v>0</v>
      </c>
      <c r="D277">
        <v>0</v>
      </c>
      <c r="E277">
        <v>0</v>
      </c>
      <c r="F277">
        <v>0</v>
      </c>
      <c r="G277">
        <v>0</v>
      </c>
      <c r="H277">
        <v>0</v>
      </c>
      <c r="I277">
        <v>0</v>
      </c>
      <c r="J277">
        <v>0</v>
      </c>
      <c r="K277">
        <v>0</v>
      </c>
      <c r="L277">
        <v>0</v>
      </c>
      <c r="M277">
        <v>0</v>
      </c>
      <c r="N277">
        <v>0</v>
      </c>
      <c r="O277">
        <v>18</v>
      </c>
    </row>
    <row r="278" spans="1:15">
      <c r="A278">
        <v>855580</v>
      </c>
      <c r="B278" t="s">
        <v>266</v>
      </c>
      <c r="C278">
        <v>1.1000000000000001</v>
      </c>
      <c r="D278">
        <v>0.6</v>
      </c>
      <c r="E278">
        <v>0.5</v>
      </c>
      <c r="F278">
        <v>0.2</v>
      </c>
      <c r="G278">
        <v>0.1</v>
      </c>
      <c r="H278">
        <v>0.1</v>
      </c>
      <c r="I278">
        <v>0.5</v>
      </c>
      <c r="J278">
        <v>0.4</v>
      </c>
      <c r="K278">
        <v>0.3</v>
      </c>
      <c r="L278">
        <v>0.3</v>
      </c>
      <c r="M278">
        <v>1</v>
      </c>
      <c r="N278">
        <v>2.1</v>
      </c>
      <c r="O278">
        <v>19</v>
      </c>
    </row>
    <row r="279" spans="1:15">
      <c r="A279">
        <v>855580</v>
      </c>
      <c r="B279" t="s">
        <v>267</v>
      </c>
      <c r="C279">
        <v>0.3</v>
      </c>
      <c r="D279">
        <v>0.8</v>
      </c>
      <c r="E279">
        <v>3</v>
      </c>
      <c r="F279">
        <v>2.6</v>
      </c>
      <c r="G279">
        <v>2.6</v>
      </c>
      <c r="H279">
        <v>2.2999999999999998</v>
      </c>
      <c r="I279">
        <v>1.6</v>
      </c>
      <c r="J279">
        <v>2</v>
      </c>
      <c r="K279">
        <v>2.7</v>
      </c>
      <c r="L279">
        <v>0.9</v>
      </c>
      <c r="M279">
        <v>1</v>
      </c>
      <c r="N279">
        <v>0.7</v>
      </c>
      <c r="O279">
        <v>20</v>
      </c>
    </row>
    <row r="280" spans="1:15">
      <c r="A280">
        <v>855580</v>
      </c>
      <c r="B280" t="s">
        <v>268</v>
      </c>
      <c r="C280">
        <v>0</v>
      </c>
      <c r="D280">
        <v>0</v>
      </c>
      <c r="E280">
        <v>0</v>
      </c>
      <c r="F280">
        <v>0</v>
      </c>
      <c r="G280">
        <v>0</v>
      </c>
      <c r="H280">
        <v>0</v>
      </c>
      <c r="I280">
        <v>0</v>
      </c>
      <c r="J280">
        <v>0</v>
      </c>
      <c r="K280">
        <v>0</v>
      </c>
      <c r="L280">
        <v>0</v>
      </c>
      <c r="M280">
        <v>0</v>
      </c>
      <c r="N280">
        <v>0</v>
      </c>
      <c r="O280">
        <v>21</v>
      </c>
    </row>
    <row r="281" spans="1:15">
      <c r="A281">
        <v>855580</v>
      </c>
      <c r="B281" t="s">
        <v>269</v>
      </c>
      <c r="C281">
        <v>0</v>
      </c>
      <c r="D281">
        <v>0</v>
      </c>
      <c r="E281">
        <v>0</v>
      </c>
      <c r="F281">
        <v>0</v>
      </c>
      <c r="G281">
        <v>0</v>
      </c>
      <c r="H281">
        <v>0</v>
      </c>
      <c r="I281">
        <v>0</v>
      </c>
      <c r="J281">
        <v>0</v>
      </c>
      <c r="K281">
        <v>0</v>
      </c>
      <c r="L281">
        <v>0</v>
      </c>
      <c r="M281">
        <v>0</v>
      </c>
      <c r="N281">
        <v>0</v>
      </c>
      <c r="O281">
        <v>22</v>
      </c>
    </row>
    <row r="282" spans="1:15">
      <c r="A282">
        <v>855580</v>
      </c>
      <c r="B282" t="s">
        <v>270</v>
      </c>
      <c r="C282">
        <v>0.8</v>
      </c>
      <c r="D282">
        <v>1.8</v>
      </c>
      <c r="E282">
        <v>0.9</v>
      </c>
      <c r="F282">
        <v>0</v>
      </c>
      <c r="G282">
        <v>0.1</v>
      </c>
      <c r="H282">
        <v>0</v>
      </c>
      <c r="I282">
        <v>0.1</v>
      </c>
      <c r="J282">
        <v>0.1</v>
      </c>
      <c r="K282">
        <v>0.7</v>
      </c>
      <c r="L282">
        <v>0.4</v>
      </c>
      <c r="M282">
        <v>0.4</v>
      </c>
      <c r="N282">
        <v>0.7</v>
      </c>
      <c r="O282">
        <v>23</v>
      </c>
    </row>
    <row r="283" spans="1:15">
      <c r="A283">
        <v>855580</v>
      </c>
      <c r="B283" t="s">
        <v>271</v>
      </c>
      <c r="C283">
        <v>0</v>
      </c>
      <c r="D283">
        <v>0</v>
      </c>
      <c r="E283">
        <v>0</v>
      </c>
      <c r="F283">
        <v>0</v>
      </c>
      <c r="G283">
        <v>0</v>
      </c>
      <c r="H283">
        <v>0</v>
      </c>
      <c r="I283">
        <v>0</v>
      </c>
      <c r="J283">
        <v>0</v>
      </c>
      <c r="K283">
        <v>0</v>
      </c>
      <c r="L283">
        <v>0</v>
      </c>
      <c r="M283">
        <v>0</v>
      </c>
      <c r="N283">
        <v>0</v>
      </c>
      <c r="O283">
        <v>24</v>
      </c>
    </row>
    <row r="284" spans="1:15">
      <c r="A284">
        <v>855580</v>
      </c>
      <c r="B284" t="s">
        <v>272</v>
      </c>
      <c r="C284">
        <v>0</v>
      </c>
      <c r="D284">
        <v>0</v>
      </c>
      <c r="E284">
        <v>0</v>
      </c>
      <c r="F284">
        <v>0</v>
      </c>
      <c r="G284">
        <v>0</v>
      </c>
      <c r="H284">
        <v>0</v>
      </c>
      <c r="I284">
        <v>0</v>
      </c>
      <c r="J284">
        <v>0</v>
      </c>
      <c r="K284">
        <v>0</v>
      </c>
      <c r="L284">
        <v>0</v>
      </c>
      <c r="M284">
        <v>0</v>
      </c>
      <c r="N284">
        <v>0</v>
      </c>
      <c r="O284">
        <v>25</v>
      </c>
    </row>
    <row r="285" spans="1:15">
      <c r="A285">
        <v>855580</v>
      </c>
      <c r="B285" t="s">
        <v>240</v>
      </c>
      <c r="C285">
        <v>17.5</v>
      </c>
      <c r="D285">
        <v>17.899999999999999</v>
      </c>
      <c r="E285">
        <v>17.3</v>
      </c>
      <c r="F285">
        <v>15.5</v>
      </c>
      <c r="G285">
        <v>14.3</v>
      </c>
      <c r="H285">
        <v>13.9</v>
      </c>
      <c r="I285">
        <v>13.1</v>
      </c>
      <c r="J285">
        <v>13.2</v>
      </c>
      <c r="K285">
        <v>13.2</v>
      </c>
      <c r="L285">
        <v>13.7</v>
      </c>
      <c r="M285">
        <v>14.6</v>
      </c>
      <c r="N285">
        <v>16.399999999999999</v>
      </c>
      <c r="O285">
        <v>26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42"/>
  <sheetViews>
    <sheetView workbookViewId="0">
      <selection activeCell="A15" sqref="A15"/>
    </sheetView>
  </sheetViews>
  <sheetFormatPr baseColWidth="10" defaultRowHeight="12.75"/>
  <cols>
    <col min="1" max="1" width="51.28515625" style="23" customWidth="1"/>
    <col min="2" max="10" width="7.28515625" style="23" customWidth="1"/>
    <col min="11" max="13" width="7.28515625" style="1" customWidth="1"/>
    <col min="14" max="16384" width="11.42578125" style="1"/>
  </cols>
  <sheetData>
    <row r="2" spans="1:15" ht="15">
      <c r="A2" s="187" t="s">
        <v>0</v>
      </c>
      <c r="B2" s="187"/>
      <c r="C2" s="187"/>
      <c r="D2" s="187"/>
      <c r="E2" s="187"/>
    </row>
    <row r="3" spans="1:15" ht="15.75" thickBot="1">
      <c r="A3" s="187"/>
      <c r="B3" s="187"/>
      <c r="C3" s="187"/>
      <c r="D3" s="187"/>
      <c r="E3" s="187"/>
    </row>
    <row r="4" spans="1:15" ht="15.75" thickBot="1">
      <c r="A4" s="188" t="s">
        <v>123</v>
      </c>
      <c r="B4" s="189" t="s">
        <v>126</v>
      </c>
      <c r="C4" s="190"/>
      <c r="D4" s="190"/>
      <c r="E4" s="191"/>
    </row>
    <row r="5" spans="1:15" ht="15.75" thickBot="1">
      <c r="A5" s="187"/>
      <c r="B5" s="187"/>
      <c r="C5" s="187"/>
      <c r="D5" s="187"/>
      <c r="E5" s="187"/>
    </row>
    <row r="6" spans="1:15" ht="15.75" thickBot="1">
      <c r="A6" s="188" t="s">
        <v>69</v>
      </c>
      <c r="B6" s="192">
        <v>35</v>
      </c>
      <c r="C6" s="188" t="s">
        <v>1</v>
      </c>
      <c r="D6" s="193">
        <v>30</v>
      </c>
      <c r="E6" s="188" t="s">
        <v>2</v>
      </c>
      <c r="F6" s="194" t="s">
        <v>124</v>
      </c>
      <c r="G6" s="195"/>
      <c r="H6" s="196" t="s">
        <v>96</v>
      </c>
    </row>
    <row r="7" spans="1:15" ht="15">
      <c r="A7" s="187"/>
      <c r="B7" s="187"/>
      <c r="C7" s="187"/>
      <c r="D7" s="187"/>
      <c r="E7" s="187"/>
    </row>
    <row r="8" spans="1:15" ht="15">
      <c r="A8" s="187" t="s">
        <v>4</v>
      </c>
      <c r="B8" s="187"/>
      <c r="C8" s="187"/>
      <c r="D8" s="187"/>
      <c r="E8" s="187"/>
    </row>
    <row r="9" spans="1:15" ht="15.75" thickBot="1">
      <c r="A9" s="187"/>
      <c r="B9" s="187"/>
      <c r="C9" s="187"/>
      <c r="D9" s="187"/>
      <c r="E9" s="187"/>
      <c r="K9" s="23"/>
      <c r="L9" s="23"/>
      <c r="M9" s="23"/>
      <c r="N9" s="23"/>
      <c r="O9" s="23"/>
    </row>
    <row r="10" spans="1:15" ht="22.5" customHeight="1">
      <c r="A10" s="197"/>
      <c r="B10" s="335" t="s">
        <v>26</v>
      </c>
      <c r="C10" s="335" t="s">
        <v>27</v>
      </c>
      <c r="D10" s="335" t="s">
        <v>28</v>
      </c>
      <c r="E10" s="335" t="s">
        <v>29</v>
      </c>
      <c r="F10" s="335" t="s">
        <v>30</v>
      </c>
      <c r="G10" s="335" t="s">
        <v>31</v>
      </c>
      <c r="H10" s="335" t="s">
        <v>32</v>
      </c>
      <c r="I10" s="335" t="s">
        <v>33</v>
      </c>
      <c r="J10" s="335" t="s">
        <v>34</v>
      </c>
      <c r="K10" s="335" t="s">
        <v>23</v>
      </c>
      <c r="L10" s="335" t="s">
        <v>24</v>
      </c>
      <c r="M10" s="335" t="s">
        <v>25</v>
      </c>
      <c r="N10" s="23"/>
      <c r="O10" s="23"/>
    </row>
    <row r="11" spans="1:15" ht="22.5" customHeight="1">
      <c r="A11" s="370" t="s">
        <v>252</v>
      </c>
      <c r="B11" s="369">
        <v>28.6</v>
      </c>
      <c r="C11" s="369">
        <v>28.8</v>
      </c>
      <c r="D11" s="369">
        <v>27.6</v>
      </c>
      <c r="E11" s="369">
        <v>24.4</v>
      </c>
      <c r="F11" s="369">
        <v>26</v>
      </c>
      <c r="G11" s="369">
        <v>24</v>
      </c>
      <c r="H11" s="369">
        <v>26</v>
      </c>
      <c r="I11" s="369">
        <v>25.2</v>
      </c>
      <c r="J11" s="369">
        <v>26.4</v>
      </c>
      <c r="K11" s="369">
        <v>28.5</v>
      </c>
      <c r="L11" s="369">
        <v>30.2</v>
      </c>
      <c r="M11" s="369">
        <v>26</v>
      </c>
      <c r="N11" s="336">
        <v>1</v>
      </c>
      <c r="O11" s="23"/>
    </row>
    <row r="12" spans="1:15" ht="22.5" customHeight="1">
      <c r="A12" s="370" t="s">
        <v>253</v>
      </c>
      <c r="B12" s="369">
        <v>20.8</v>
      </c>
      <c r="C12" s="369">
        <v>21.2</v>
      </c>
      <c r="D12" s="369">
        <v>20.2</v>
      </c>
      <c r="E12" s="369">
        <v>18.8</v>
      </c>
      <c r="F12" s="369">
        <v>17</v>
      </c>
      <c r="G12" s="369">
        <v>15.8</v>
      </c>
      <c r="H12" s="369">
        <v>15.3</v>
      </c>
      <c r="I12" s="369">
        <v>15.8</v>
      </c>
      <c r="J12" s="369">
        <v>16.8</v>
      </c>
      <c r="K12" s="369">
        <v>17.399999999999999</v>
      </c>
      <c r="L12" s="369">
        <v>18.5</v>
      </c>
      <c r="M12" s="369">
        <v>20</v>
      </c>
      <c r="N12" s="336">
        <v>2</v>
      </c>
      <c r="O12" s="23"/>
    </row>
    <row r="13" spans="1:15" ht="22.5" customHeight="1">
      <c r="A13" s="370" t="s">
        <v>254</v>
      </c>
      <c r="B13" s="369">
        <v>17.3</v>
      </c>
      <c r="C13" s="369">
        <v>17.399999999999999</v>
      </c>
      <c r="D13" s="369">
        <v>16.5</v>
      </c>
      <c r="E13" s="369">
        <v>14.9</v>
      </c>
      <c r="F13" s="369">
        <v>13.7</v>
      </c>
      <c r="G13" s="369">
        <v>12.5</v>
      </c>
      <c r="H13" s="369">
        <v>11.8</v>
      </c>
      <c r="I13" s="369">
        <v>12.4</v>
      </c>
      <c r="J13" s="369">
        <v>13</v>
      </c>
      <c r="K13" s="369">
        <v>13.9</v>
      </c>
      <c r="L13" s="369">
        <v>15</v>
      </c>
      <c r="M13" s="369">
        <v>16.2</v>
      </c>
      <c r="N13" s="336">
        <v>3</v>
      </c>
      <c r="O13" s="23"/>
    </row>
    <row r="14" spans="1:15" ht="22.5" customHeight="1">
      <c r="A14" s="370" t="s">
        <v>255</v>
      </c>
      <c r="B14" s="369">
        <v>14.7</v>
      </c>
      <c r="C14" s="369">
        <v>14.7</v>
      </c>
      <c r="D14" s="369">
        <v>13.8</v>
      </c>
      <c r="E14" s="369">
        <v>12.1</v>
      </c>
      <c r="F14" s="369">
        <v>11.3</v>
      </c>
      <c r="G14" s="369">
        <v>10.1</v>
      </c>
      <c r="H14" s="369">
        <v>9.4</v>
      </c>
      <c r="I14" s="369">
        <v>10</v>
      </c>
      <c r="J14" s="369">
        <v>10.6</v>
      </c>
      <c r="K14" s="369">
        <v>11.3</v>
      </c>
      <c r="L14" s="369">
        <v>12.2</v>
      </c>
      <c r="M14" s="369">
        <v>13.4</v>
      </c>
      <c r="N14" s="336">
        <v>4</v>
      </c>
      <c r="O14" s="23"/>
    </row>
    <row r="15" spans="1:15" ht="22.5" customHeight="1">
      <c r="A15" s="370" t="s">
        <v>256</v>
      </c>
      <c r="B15" s="369">
        <v>9.8000000000000007</v>
      </c>
      <c r="C15" s="369">
        <v>10</v>
      </c>
      <c r="D15" s="369">
        <v>7</v>
      </c>
      <c r="E15" s="369">
        <v>4.4000000000000004</v>
      </c>
      <c r="F15" s="369">
        <v>0.9</v>
      </c>
      <c r="G15" s="369">
        <v>5.8</v>
      </c>
      <c r="H15" s="369">
        <v>0.9</v>
      </c>
      <c r="I15" s="369">
        <v>5.5</v>
      </c>
      <c r="J15" s="369">
        <v>5.6</v>
      </c>
      <c r="K15" s="369">
        <v>7.4</v>
      </c>
      <c r="L15" s="369">
        <v>8.8000000000000007</v>
      </c>
      <c r="M15" s="369">
        <v>9.1999999999999993</v>
      </c>
      <c r="N15" s="336">
        <v>5</v>
      </c>
      <c r="O15" s="23"/>
    </row>
    <row r="16" spans="1:15" ht="22.5" customHeight="1">
      <c r="A16" s="370" t="s">
        <v>257</v>
      </c>
      <c r="B16" s="369">
        <v>13.8</v>
      </c>
      <c r="C16" s="369">
        <v>13.9</v>
      </c>
      <c r="D16" s="369">
        <v>13.1</v>
      </c>
      <c r="E16" s="369">
        <v>11.6</v>
      </c>
      <c r="F16" s="369">
        <v>10.9</v>
      </c>
      <c r="G16" s="369">
        <v>9.5</v>
      </c>
      <c r="H16" s="369">
        <v>8.9</v>
      </c>
      <c r="I16" s="369">
        <v>9.3000000000000007</v>
      </c>
      <c r="J16" s="369">
        <v>9.8000000000000007</v>
      </c>
      <c r="K16" s="369">
        <v>10.3</v>
      </c>
      <c r="L16" s="369">
        <v>11.3</v>
      </c>
      <c r="M16" s="369">
        <v>12.8</v>
      </c>
      <c r="N16" s="336">
        <v>6</v>
      </c>
      <c r="O16" s="23"/>
    </row>
    <row r="17" spans="1:15" ht="22.5" customHeight="1">
      <c r="A17" s="370" t="s">
        <v>159</v>
      </c>
      <c r="B17" s="369">
        <v>79.900000000000006</v>
      </c>
      <c r="C17" s="369">
        <v>80.099999999999994</v>
      </c>
      <c r="D17" s="369">
        <v>80.400000000000006</v>
      </c>
      <c r="E17" s="369">
        <v>81.3</v>
      </c>
      <c r="F17" s="369">
        <v>83.6</v>
      </c>
      <c r="G17" s="369">
        <v>82.5</v>
      </c>
      <c r="H17" s="369">
        <v>82.4</v>
      </c>
      <c r="I17" s="369">
        <v>81.7</v>
      </c>
      <c r="J17" s="369">
        <v>80.900000000000006</v>
      </c>
      <c r="K17" s="369">
        <v>79.5</v>
      </c>
      <c r="L17" s="369">
        <v>78.8</v>
      </c>
      <c r="M17" s="369">
        <v>80.3</v>
      </c>
      <c r="N17" s="336">
        <v>7</v>
      </c>
      <c r="O17" s="23"/>
    </row>
    <row r="18" spans="1:15" ht="22.5" customHeight="1">
      <c r="A18" s="370" t="s">
        <v>258</v>
      </c>
      <c r="B18" s="369">
        <v>64.2</v>
      </c>
      <c r="C18" s="369">
        <v>63.5</v>
      </c>
      <c r="D18" s="369">
        <v>64.3</v>
      </c>
      <c r="E18" s="369">
        <v>63.9</v>
      </c>
      <c r="F18" s="369">
        <v>68.2</v>
      </c>
      <c r="G18" s="369">
        <v>67.2</v>
      </c>
      <c r="H18" s="369">
        <v>66.3</v>
      </c>
      <c r="I18" s="369">
        <v>66.2</v>
      </c>
      <c r="J18" s="369">
        <v>64.2</v>
      </c>
      <c r="K18" s="369">
        <v>63.9</v>
      </c>
      <c r="L18" s="369">
        <v>63</v>
      </c>
      <c r="M18" s="369">
        <v>63.1</v>
      </c>
      <c r="N18" s="336">
        <v>8</v>
      </c>
      <c r="O18" s="23"/>
    </row>
    <row r="19" spans="1:15" ht="22.5" customHeight="1">
      <c r="A19" s="370" t="s">
        <v>259</v>
      </c>
      <c r="B19" s="369">
        <v>15.9</v>
      </c>
      <c r="C19" s="369">
        <v>16</v>
      </c>
      <c r="D19" s="369">
        <v>15.1</v>
      </c>
      <c r="E19" s="369">
        <v>13.7</v>
      </c>
      <c r="F19" s="369">
        <v>13.1</v>
      </c>
      <c r="G19" s="369">
        <v>12</v>
      </c>
      <c r="H19" s="369">
        <v>11.5</v>
      </c>
      <c r="I19" s="369">
        <v>11.8</v>
      </c>
      <c r="J19" s="369">
        <v>12.2</v>
      </c>
      <c r="K19" s="369">
        <v>12.6</v>
      </c>
      <c r="L19" s="369">
        <v>13.4</v>
      </c>
      <c r="M19" s="369">
        <v>14.9</v>
      </c>
      <c r="N19" s="336">
        <v>9</v>
      </c>
      <c r="O19" s="23"/>
    </row>
    <row r="20" spans="1:15" ht="22.5" customHeight="1">
      <c r="A20" s="370" t="s">
        <v>260</v>
      </c>
      <c r="B20" s="369">
        <v>0.4</v>
      </c>
      <c r="C20" s="369">
        <v>0</v>
      </c>
      <c r="D20" s="369">
        <v>3.7</v>
      </c>
      <c r="E20" s="369">
        <v>13.3</v>
      </c>
      <c r="F20" s="369">
        <v>54.5</v>
      </c>
      <c r="G20" s="369">
        <v>83.1</v>
      </c>
      <c r="H20" s="369">
        <v>111.2</v>
      </c>
      <c r="I20" s="369">
        <v>60</v>
      </c>
      <c r="J20" s="369">
        <v>26.7</v>
      </c>
      <c r="K20" s="369">
        <v>10.4</v>
      </c>
      <c r="L20" s="369">
        <v>7.9</v>
      </c>
      <c r="M20" s="369">
        <v>1.3</v>
      </c>
      <c r="N20" s="336">
        <v>10</v>
      </c>
    </row>
    <row r="21" spans="1:15" ht="22.5" customHeight="1">
      <c r="A21" s="370" t="s">
        <v>261</v>
      </c>
      <c r="B21" s="369">
        <v>1.5</v>
      </c>
      <c r="C21" s="369">
        <v>0.3</v>
      </c>
      <c r="D21" s="369">
        <v>10.9</v>
      </c>
      <c r="E21" s="369">
        <v>35.299999999999997</v>
      </c>
      <c r="F21" s="369">
        <v>29.5</v>
      </c>
      <c r="G21" s="369">
        <v>51.1</v>
      </c>
      <c r="H21" s="369">
        <v>39</v>
      </c>
      <c r="I21" s="369">
        <v>46.7</v>
      </c>
      <c r="J21" s="369">
        <v>51.1</v>
      </c>
      <c r="K21" s="369">
        <v>47.2</v>
      </c>
      <c r="L21" s="369">
        <v>30</v>
      </c>
      <c r="M21" s="369">
        <v>19.3</v>
      </c>
      <c r="N21" s="336">
        <v>11</v>
      </c>
    </row>
    <row r="22" spans="1:15">
      <c r="A22" s="370" t="s">
        <v>262</v>
      </c>
      <c r="B22" s="369">
        <v>1014.4</v>
      </c>
      <c r="C22" s="369">
        <v>1013.7</v>
      </c>
      <c r="D22" s="369">
        <v>1014.5</v>
      </c>
      <c r="E22" s="369">
        <v>1016</v>
      </c>
      <c r="F22" s="369">
        <v>1017.4</v>
      </c>
      <c r="G22" s="369">
        <v>1018.5</v>
      </c>
      <c r="H22" s="369">
        <v>1019.5</v>
      </c>
      <c r="I22" s="369">
        <v>1019.2</v>
      </c>
      <c r="J22" s="369">
        <v>1019</v>
      </c>
      <c r="K22" s="369">
        <v>1017.8</v>
      </c>
      <c r="L22" s="369">
        <v>1016.3</v>
      </c>
      <c r="M22" s="369">
        <v>1015</v>
      </c>
      <c r="N22" s="336">
        <v>12</v>
      </c>
    </row>
    <row r="23" spans="1:15" s="93" customFormat="1" ht="21.75" customHeight="1">
      <c r="A23" s="370" t="s">
        <v>263</v>
      </c>
      <c r="B23" s="369">
        <v>10.199999999999999</v>
      </c>
      <c r="C23" s="369">
        <v>10.199999999999999</v>
      </c>
      <c r="D23" s="369">
        <v>9.9</v>
      </c>
      <c r="E23" s="369">
        <v>9.3000000000000007</v>
      </c>
      <c r="F23" s="369">
        <v>8.6999999999999993</v>
      </c>
      <c r="G23" s="369">
        <v>9.1</v>
      </c>
      <c r="H23" s="369">
        <v>9.1999999999999993</v>
      </c>
      <c r="I23" s="369">
        <v>9.1999999999999993</v>
      </c>
      <c r="J23" s="369">
        <v>9.1999999999999993</v>
      </c>
      <c r="K23" s="369">
        <v>10.6</v>
      </c>
      <c r="L23" s="369">
        <v>10.6</v>
      </c>
      <c r="M23" s="369">
        <v>10.8</v>
      </c>
      <c r="N23" s="336">
        <v>13</v>
      </c>
    </row>
    <row r="24" spans="1:15" s="93" customFormat="1" ht="21.75" customHeight="1">
      <c r="A24" s="370" t="s">
        <v>264</v>
      </c>
      <c r="B24" s="369">
        <v>3.5</v>
      </c>
      <c r="C24" s="369">
        <v>3.1</v>
      </c>
      <c r="D24" s="369">
        <v>2.7</v>
      </c>
      <c r="E24" s="369">
        <v>2.6</v>
      </c>
      <c r="F24" s="369">
        <v>2.5</v>
      </c>
      <c r="G24" s="369">
        <v>2.7</v>
      </c>
      <c r="H24" s="369">
        <v>2.8</v>
      </c>
      <c r="I24" s="369">
        <v>2.9</v>
      </c>
      <c r="J24" s="369">
        <v>3</v>
      </c>
      <c r="K24" s="369">
        <v>3.3</v>
      </c>
      <c r="L24" s="369">
        <v>3.7</v>
      </c>
      <c r="M24" s="369">
        <v>3.8</v>
      </c>
      <c r="N24" s="336">
        <v>14</v>
      </c>
    </row>
    <row r="25" spans="1:15" s="93" customFormat="1" ht="21.75" customHeight="1">
      <c r="A25" s="370" t="s">
        <v>160</v>
      </c>
      <c r="B25" s="369">
        <v>279</v>
      </c>
      <c r="C25" s="369">
        <v>245.7</v>
      </c>
      <c r="D25" s="369">
        <v>217</v>
      </c>
      <c r="E25" s="369">
        <v>174</v>
      </c>
      <c r="F25" s="369">
        <v>114.7</v>
      </c>
      <c r="G25" s="369">
        <v>81</v>
      </c>
      <c r="H25" s="369">
        <v>93</v>
      </c>
      <c r="I25" s="369">
        <v>117.8</v>
      </c>
      <c r="J25" s="369">
        <v>147</v>
      </c>
      <c r="K25" s="369">
        <v>170.5</v>
      </c>
      <c r="L25" s="369">
        <v>216</v>
      </c>
      <c r="M25" s="369">
        <v>263.5</v>
      </c>
      <c r="N25" s="336">
        <v>15</v>
      </c>
    </row>
    <row r="26" spans="1:15" s="93" customFormat="1" ht="21.75" customHeight="1">
      <c r="A26" s="370" t="s">
        <v>161</v>
      </c>
      <c r="B26" s="369">
        <v>9</v>
      </c>
      <c r="C26" s="369">
        <v>8.7750000000000004</v>
      </c>
      <c r="D26" s="369">
        <v>7</v>
      </c>
      <c r="E26" s="369">
        <v>5.8</v>
      </c>
      <c r="F26" s="369">
        <v>3.7</v>
      </c>
      <c r="G26" s="369">
        <v>2.7</v>
      </c>
      <c r="H26" s="369">
        <v>3</v>
      </c>
      <c r="I26" s="369">
        <v>3.8</v>
      </c>
      <c r="J26" s="369">
        <v>4.9000000000000004</v>
      </c>
      <c r="K26" s="369">
        <v>5.5</v>
      </c>
      <c r="L26" s="369">
        <v>7.2</v>
      </c>
      <c r="M26" s="369">
        <v>8.5</v>
      </c>
      <c r="N26" s="336">
        <v>16</v>
      </c>
    </row>
    <row r="27" spans="1:15" s="93" customFormat="1" ht="21.75" customHeight="1">
      <c r="A27" s="370" t="s">
        <v>249</v>
      </c>
      <c r="B27" s="369">
        <v>1</v>
      </c>
      <c r="C27" s="369">
        <v>0.3</v>
      </c>
      <c r="D27" s="369">
        <v>0.3</v>
      </c>
      <c r="E27" s="369">
        <v>1.9</v>
      </c>
      <c r="F27" s="369">
        <v>5.3</v>
      </c>
      <c r="G27" s="369">
        <v>5.5</v>
      </c>
      <c r="H27" s="369">
        <v>4.8</v>
      </c>
      <c r="I27" s="369">
        <v>3.8</v>
      </c>
      <c r="J27" s="369">
        <v>2.2000000000000002</v>
      </c>
      <c r="K27" s="369">
        <v>2.2999999999999998</v>
      </c>
      <c r="L27" s="369">
        <v>1.4</v>
      </c>
      <c r="M27" s="369">
        <v>1.1000000000000001</v>
      </c>
      <c r="N27" s="336">
        <v>17</v>
      </c>
    </row>
    <row r="28" spans="1:15" s="93" customFormat="1" ht="21.75" customHeight="1">
      <c r="A28" s="370" t="s">
        <v>265</v>
      </c>
      <c r="B28" s="369">
        <v>0</v>
      </c>
      <c r="C28" s="369">
        <v>0</v>
      </c>
      <c r="D28" s="369">
        <v>0</v>
      </c>
      <c r="E28" s="369">
        <v>0</v>
      </c>
      <c r="F28" s="369">
        <v>0</v>
      </c>
      <c r="G28" s="369">
        <v>0</v>
      </c>
      <c r="H28" s="369">
        <v>0</v>
      </c>
      <c r="I28" s="369">
        <v>0</v>
      </c>
      <c r="J28" s="369">
        <v>0</v>
      </c>
      <c r="K28" s="369">
        <v>0</v>
      </c>
      <c r="L28" s="369">
        <v>0</v>
      </c>
      <c r="M28" s="369">
        <v>0</v>
      </c>
      <c r="N28" s="336">
        <v>18</v>
      </c>
    </row>
    <row r="29" spans="1:15" s="93" customFormat="1" ht="21.75" customHeight="1">
      <c r="A29" s="370" t="s">
        <v>266</v>
      </c>
      <c r="B29" s="369">
        <v>1.1000000000000001</v>
      </c>
      <c r="C29" s="369">
        <v>0.6</v>
      </c>
      <c r="D29" s="369">
        <v>0.5</v>
      </c>
      <c r="E29" s="369">
        <v>0.2</v>
      </c>
      <c r="F29" s="369">
        <v>0.1</v>
      </c>
      <c r="G29" s="369">
        <v>0.1</v>
      </c>
      <c r="H29" s="369">
        <v>0.5</v>
      </c>
      <c r="I29" s="369">
        <v>0.4</v>
      </c>
      <c r="J29" s="369">
        <v>0.3</v>
      </c>
      <c r="K29" s="369">
        <v>0.3</v>
      </c>
      <c r="L29" s="369">
        <v>1</v>
      </c>
      <c r="M29" s="369">
        <v>2.1</v>
      </c>
      <c r="N29" s="336">
        <v>19</v>
      </c>
    </row>
    <row r="30" spans="1:15" s="93" customFormat="1" ht="21.75" customHeight="1">
      <c r="A30" s="370" t="s">
        <v>267</v>
      </c>
      <c r="B30" s="369">
        <v>0.3</v>
      </c>
      <c r="C30" s="369">
        <v>0.8</v>
      </c>
      <c r="D30" s="369">
        <v>3</v>
      </c>
      <c r="E30" s="369">
        <v>2.6</v>
      </c>
      <c r="F30" s="369">
        <v>2.6</v>
      </c>
      <c r="G30" s="369">
        <v>2.2999999999999998</v>
      </c>
      <c r="H30" s="369">
        <v>1.6</v>
      </c>
      <c r="I30" s="369">
        <v>2</v>
      </c>
      <c r="J30" s="369">
        <v>2.7</v>
      </c>
      <c r="K30" s="369">
        <v>0.9</v>
      </c>
      <c r="L30" s="369">
        <v>1</v>
      </c>
      <c r="M30" s="369">
        <v>0.7</v>
      </c>
      <c r="N30" s="336">
        <v>20</v>
      </c>
    </row>
    <row r="31" spans="1:15" s="93" customFormat="1" ht="21.75" customHeight="1">
      <c r="A31" s="370" t="s">
        <v>268</v>
      </c>
      <c r="B31" s="369">
        <v>0</v>
      </c>
      <c r="C31" s="369">
        <v>0</v>
      </c>
      <c r="D31" s="369">
        <v>0</v>
      </c>
      <c r="E31" s="369">
        <v>0</v>
      </c>
      <c r="F31" s="369">
        <v>0</v>
      </c>
      <c r="G31" s="369">
        <v>0</v>
      </c>
      <c r="H31" s="369">
        <v>0</v>
      </c>
      <c r="I31" s="369">
        <v>0</v>
      </c>
      <c r="J31" s="369">
        <v>0</v>
      </c>
      <c r="K31" s="369">
        <v>0</v>
      </c>
      <c r="L31" s="369">
        <v>0</v>
      </c>
      <c r="M31" s="369">
        <v>0</v>
      </c>
      <c r="N31" s="336">
        <v>21</v>
      </c>
    </row>
    <row r="32" spans="1:15" s="93" customFormat="1" ht="21.75" customHeight="1">
      <c r="A32" s="370" t="s">
        <v>269</v>
      </c>
      <c r="B32" s="369">
        <v>0</v>
      </c>
      <c r="C32" s="369">
        <v>0</v>
      </c>
      <c r="D32" s="369">
        <v>0</v>
      </c>
      <c r="E32" s="369">
        <v>0</v>
      </c>
      <c r="F32" s="369">
        <v>0</v>
      </c>
      <c r="G32" s="369">
        <v>0</v>
      </c>
      <c r="H32" s="369">
        <v>0</v>
      </c>
      <c r="I32" s="369">
        <v>0</v>
      </c>
      <c r="J32" s="369">
        <v>0</v>
      </c>
      <c r="K32" s="369">
        <v>0</v>
      </c>
      <c r="L32" s="369">
        <v>0</v>
      </c>
      <c r="M32" s="369">
        <v>0</v>
      </c>
      <c r="N32" s="336">
        <v>22</v>
      </c>
    </row>
    <row r="33" spans="1:14" s="93" customFormat="1" ht="21.75" customHeight="1">
      <c r="A33" s="370" t="s">
        <v>270</v>
      </c>
      <c r="B33" s="369">
        <v>0.8</v>
      </c>
      <c r="C33" s="369">
        <v>1.8</v>
      </c>
      <c r="D33" s="369">
        <v>0.9</v>
      </c>
      <c r="E33" s="369">
        <v>0</v>
      </c>
      <c r="F33" s="369">
        <v>0.1</v>
      </c>
      <c r="G33" s="369">
        <v>0</v>
      </c>
      <c r="H33" s="369">
        <v>0.1</v>
      </c>
      <c r="I33" s="369">
        <v>0.1</v>
      </c>
      <c r="J33" s="369">
        <v>0.7</v>
      </c>
      <c r="K33" s="369">
        <v>0.4</v>
      </c>
      <c r="L33" s="369">
        <v>0.4</v>
      </c>
      <c r="M33" s="369">
        <v>0.7</v>
      </c>
      <c r="N33" s="336">
        <v>23</v>
      </c>
    </row>
    <row r="34" spans="1:14" s="93" customFormat="1" ht="21.75" customHeight="1">
      <c r="A34" s="370" t="s">
        <v>271</v>
      </c>
      <c r="B34" s="369">
        <v>0</v>
      </c>
      <c r="C34" s="369">
        <v>0</v>
      </c>
      <c r="D34" s="369">
        <v>0</v>
      </c>
      <c r="E34" s="369">
        <v>0</v>
      </c>
      <c r="F34" s="369">
        <v>0</v>
      </c>
      <c r="G34" s="369">
        <v>0</v>
      </c>
      <c r="H34" s="369">
        <v>0</v>
      </c>
      <c r="I34" s="369">
        <v>0</v>
      </c>
      <c r="J34" s="369">
        <v>0</v>
      </c>
      <c r="K34" s="369">
        <v>0</v>
      </c>
      <c r="L34" s="369">
        <v>0</v>
      </c>
      <c r="M34" s="369">
        <v>0</v>
      </c>
      <c r="N34" s="336">
        <v>24</v>
      </c>
    </row>
    <row r="35" spans="1:14" s="93" customFormat="1" ht="21.75" customHeight="1">
      <c r="A35" s="370" t="s">
        <v>272</v>
      </c>
      <c r="B35" s="369">
        <v>0</v>
      </c>
      <c r="C35" s="369">
        <v>0</v>
      </c>
      <c r="D35" s="369">
        <v>0</v>
      </c>
      <c r="E35" s="369">
        <v>0</v>
      </c>
      <c r="F35" s="369">
        <v>0</v>
      </c>
      <c r="G35" s="369">
        <v>0</v>
      </c>
      <c r="H35" s="369">
        <v>0</v>
      </c>
      <c r="I35" s="369">
        <v>0</v>
      </c>
      <c r="J35" s="369">
        <v>0</v>
      </c>
      <c r="K35" s="369">
        <v>0</v>
      </c>
      <c r="L35" s="369">
        <v>0</v>
      </c>
      <c r="M35" s="369">
        <v>0</v>
      </c>
      <c r="N35" s="336">
        <v>25</v>
      </c>
    </row>
    <row r="36" spans="1:14" s="93" customFormat="1" ht="21.75" customHeight="1">
      <c r="A36" s="370" t="s">
        <v>240</v>
      </c>
      <c r="B36" s="369">
        <v>17.5</v>
      </c>
      <c r="C36" s="369">
        <v>17.899999999999999</v>
      </c>
      <c r="D36" s="369">
        <v>17.3</v>
      </c>
      <c r="E36" s="369">
        <v>15.5</v>
      </c>
      <c r="F36" s="369">
        <v>14.3</v>
      </c>
      <c r="G36" s="369">
        <v>13.9</v>
      </c>
      <c r="H36" s="369">
        <v>13.1</v>
      </c>
      <c r="I36" s="369">
        <v>13.2</v>
      </c>
      <c r="J36" s="369">
        <v>13.2</v>
      </c>
      <c r="K36" s="369">
        <v>13.7</v>
      </c>
      <c r="L36" s="369">
        <v>14.6</v>
      </c>
      <c r="M36" s="369">
        <v>16.399999999999999</v>
      </c>
      <c r="N36" s="93">
        <v>26</v>
      </c>
    </row>
    <row r="37" spans="1:14" s="93" customFormat="1" ht="21.75" customHeight="1">
      <c r="A37" s="198" t="s">
        <v>310</v>
      </c>
      <c r="B37" s="199"/>
      <c r="C37" s="199"/>
      <c r="D37" s="199"/>
      <c r="E37" s="199"/>
      <c r="F37" s="199"/>
      <c r="G37" s="199"/>
      <c r="H37" s="199"/>
      <c r="I37" s="199"/>
      <c r="J37" s="199"/>
    </row>
    <row r="40" spans="1:14">
      <c r="B40" s="369"/>
      <c r="C40" s="369"/>
      <c r="D40" s="369"/>
      <c r="E40" s="369"/>
      <c r="F40" s="369"/>
      <c r="G40" s="369"/>
      <c r="H40" s="369"/>
      <c r="I40" s="369"/>
      <c r="J40" s="369"/>
      <c r="K40" s="369"/>
      <c r="L40" s="369"/>
      <c r="M40" s="369"/>
    </row>
    <row r="41" spans="1:14">
      <c r="A41" s="200"/>
      <c r="B41" s="369"/>
      <c r="C41" s="369"/>
      <c r="D41" s="369"/>
      <c r="E41" s="369"/>
      <c r="F41" s="369"/>
      <c r="G41" s="369"/>
      <c r="H41" s="369"/>
      <c r="I41" s="369"/>
      <c r="J41" s="369"/>
      <c r="K41" s="369"/>
      <c r="L41" s="369"/>
      <c r="M41" s="369"/>
    </row>
    <row r="42" spans="1:14">
      <c r="B42" s="369"/>
      <c r="C42" s="369"/>
      <c r="D42" s="369"/>
      <c r="E42" s="369"/>
      <c r="F42" s="369"/>
      <c r="G42" s="369"/>
      <c r="H42" s="369"/>
      <c r="I42" s="369"/>
      <c r="J42" s="369"/>
      <c r="K42" s="369"/>
      <c r="L42" s="369"/>
      <c r="M42" s="369"/>
    </row>
  </sheetData>
  <phoneticPr fontId="19" type="noConversion"/>
  <pageMargins left="0.74791666666666667" right="0.74791666666666667" top="0.98402777777777783" bottom="0.98402777777777783" header="0.51180555555555562" footer="0.51180555555555562"/>
  <pageSetup paperSize="9" firstPageNumber="0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38"/>
  <sheetViews>
    <sheetView topLeftCell="A21" workbookViewId="0">
      <selection activeCell="B38" sqref="B38"/>
    </sheetView>
  </sheetViews>
  <sheetFormatPr baseColWidth="10" defaultRowHeight="12.75"/>
  <cols>
    <col min="1" max="1" width="27.85546875" style="78" customWidth="1"/>
    <col min="2" max="42" width="7" style="78" customWidth="1"/>
    <col min="43" max="16384" width="11.42578125" style="78"/>
  </cols>
  <sheetData>
    <row r="2" spans="1:22" ht="15">
      <c r="A2" s="74" t="s">
        <v>102</v>
      </c>
      <c r="B2" s="75"/>
      <c r="C2" s="75"/>
      <c r="D2" s="76"/>
      <c r="E2" s="76"/>
      <c r="F2" s="76"/>
      <c r="G2" s="76"/>
      <c r="H2" s="76"/>
      <c r="I2" s="76"/>
      <c r="J2" s="77" t="s">
        <v>103</v>
      </c>
      <c r="K2" s="77" t="s">
        <v>104</v>
      </c>
      <c r="L2" s="76"/>
      <c r="M2" s="76"/>
    </row>
    <row r="3" spans="1:22" s="81" customFormat="1" ht="15">
      <c r="A3" s="79"/>
      <c r="B3" s="80"/>
      <c r="C3" s="80"/>
    </row>
    <row r="4" spans="1:22" ht="15.75">
      <c r="A4" s="79"/>
      <c r="B4" s="151" t="s">
        <v>26</v>
      </c>
      <c r="C4" s="151" t="s">
        <v>27</v>
      </c>
      <c r="D4" s="151" t="s">
        <v>28</v>
      </c>
      <c r="E4" s="151" t="s">
        <v>29</v>
      </c>
      <c r="F4" s="151" t="s">
        <v>30</v>
      </c>
      <c r="G4" s="151" t="s">
        <v>31</v>
      </c>
      <c r="H4" s="151" t="s">
        <v>32</v>
      </c>
      <c r="I4" s="151" t="s">
        <v>33</v>
      </c>
      <c r="J4" s="151" t="s">
        <v>34</v>
      </c>
      <c r="K4" s="151" t="s">
        <v>23</v>
      </c>
      <c r="L4" s="151" t="s">
        <v>24</v>
      </c>
      <c r="M4" s="151" t="s">
        <v>25</v>
      </c>
      <c r="N4" s="81"/>
      <c r="O4" s="81"/>
      <c r="P4" s="81"/>
      <c r="Q4" s="81"/>
      <c r="R4" s="81"/>
      <c r="S4" s="81"/>
      <c r="T4" s="81"/>
      <c r="U4" s="81"/>
      <c r="V4" s="81"/>
    </row>
    <row r="5" spans="1:22">
      <c r="B5" s="81"/>
      <c r="C5" s="81"/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  <c r="P5" s="81"/>
      <c r="Q5" s="81"/>
      <c r="R5" s="81"/>
      <c r="S5" s="81"/>
      <c r="T5" s="81"/>
      <c r="U5" s="81"/>
      <c r="V5" s="81"/>
    </row>
    <row r="6" spans="1:22">
      <c r="A6" s="78" t="s">
        <v>105</v>
      </c>
      <c r="B6" s="152">
        <f>lat_grados</f>
        <v>35</v>
      </c>
      <c r="C6" s="153"/>
      <c r="D6" s="153"/>
      <c r="E6" s="153"/>
      <c r="F6" s="153"/>
      <c r="G6" s="153"/>
      <c r="H6" s="153"/>
      <c r="I6" s="153"/>
      <c r="J6" s="153"/>
      <c r="K6" s="153"/>
      <c r="L6" s="153"/>
      <c r="M6" s="153"/>
      <c r="N6" s="81" t="s">
        <v>106</v>
      </c>
      <c r="O6" s="154"/>
      <c r="P6" s="81"/>
      <c r="Q6" s="81"/>
      <c r="R6" s="81"/>
      <c r="S6" s="81"/>
      <c r="T6" s="81"/>
      <c r="U6" s="81"/>
      <c r="V6" s="81"/>
    </row>
    <row r="7" spans="1:22">
      <c r="A7" s="78" t="s">
        <v>107</v>
      </c>
      <c r="B7" s="155">
        <f>RADIANS(B6)</f>
        <v>0.6108652381980153</v>
      </c>
      <c r="C7" s="155"/>
      <c r="D7" s="155"/>
      <c r="E7" s="155"/>
      <c r="F7" s="155"/>
      <c r="G7" s="155"/>
      <c r="H7" s="155"/>
      <c r="I7" s="155"/>
      <c r="J7" s="155"/>
      <c r="K7" s="155"/>
      <c r="L7" s="155"/>
      <c r="M7" s="155"/>
      <c r="N7" s="81"/>
      <c r="O7" s="154"/>
      <c r="P7" s="81"/>
      <c r="Q7" s="81"/>
      <c r="R7" s="81"/>
      <c r="S7" s="81"/>
      <c r="T7" s="81"/>
      <c r="U7" s="81"/>
      <c r="V7" s="81"/>
    </row>
    <row r="8" spans="1:22">
      <c r="A8" s="78" t="s">
        <v>108</v>
      </c>
      <c r="B8" s="153">
        <v>15</v>
      </c>
      <c r="C8" s="153">
        <f>B8+30</f>
        <v>45</v>
      </c>
      <c r="D8" s="153">
        <f t="shared" ref="D8:M8" si="0">C8+30</f>
        <v>75</v>
      </c>
      <c r="E8" s="153">
        <f t="shared" si="0"/>
        <v>105</v>
      </c>
      <c r="F8" s="153">
        <f t="shared" si="0"/>
        <v>135</v>
      </c>
      <c r="G8" s="153">
        <f t="shared" si="0"/>
        <v>165</v>
      </c>
      <c r="H8" s="153">
        <f t="shared" si="0"/>
        <v>195</v>
      </c>
      <c r="I8" s="153">
        <f t="shared" si="0"/>
        <v>225</v>
      </c>
      <c r="J8" s="153">
        <f t="shared" si="0"/>
        <v>255</v>
      </c>
      <c r="K8" s="153">
        <f t="shared" si="0"/>
        <v>285</v>
      </c>
      <c r="L8" s="153">
        <f t="shared" si="0"/>
        <v>315</v>
      </c>
      <c r="M8" s="153">
        <f t="shared" si="0"/>
        <v>345</v>
      </c>
      <c r="N8" s="81" t="s">
        <v>109</v>
      </c>
      <c r="O8" s="154"/>
      <c r="P8" s="81"/>
      <c r="Q8" s="81"/>
      <c r="R8" s="81"/>
      <c r="S8" s="81"/>
      <c r="T8" s="81"/>
      <c r="U8" s="81"/>
      <c r="V8" s="81"/>
    </row>
    <row r="9" spans="1:22">
      <c r="B9" s="156">
        <f>(2*(3.1415927)/365)*((B8)-1)</f>
        <v>0.24099889205479449</v>
      </c>
      <c r="C9" s="156">
        <f t="shared" ref="C9:M9" si="1">(2*(3.1415927)/365)*((C8)-1)</f>
        <v>0.75742508931506847</v>
      </c>
      <c r="D9" s="156">
        <f t="shared" si="1"/>
        <v>1.2738512865753424</v>
      </c>
      <c r="E9" s="156">
        <f t="shared" si="1"/>
        <v>1.7902774838356161</v>
      </c>
      <c r="F9" s="156">
        <f t="shared" si="1"/>
        <v>2.3067036810958901</v>
      </c>
      <c r="G9" s="156">
        <f t="shared" si="1"/>
        <v>2.823129878356164</v>
      </c>
      <c r="H9" s="156">
        <f t="shared" si="1"/>
        <v>3.339556075616438</v>
      </c>
      <c r="I9" s="156">
        <f t="shared" si="1"/>
        <v>3.8559822728767119</v>
      </c>
      <c r="J9" s="156">
        <f t="shared" si="1"/>
        <v>4.3724084701369854</v>
      </c>
      <c r="K9" s="156">
        <f t="shared" si="1"/>
        <v>4.8888346673972594</v>
      </c>
      <c r="L9" s="156">
        <f t="shared" si="1"/>
        <v>5.4052608646575333</v>
      </c>
      <c r="M9" s="156">
        <f t="shared" si="1"/>
        <v>5.9216870619178072</v>
      </c>
      <c r="N9" s="81" t="s">
        <v>87</v>
      </c>
      <c r="O9" s="154"/>
      <c r="P9" s="81"/>
      <c r="Q9" s="81"/>
      <c r="R9" s="81"/>
      <c r="S9" s="81"/>
      <c r="T9" s="81"/>
      <c r="U9" s="81"/>
      <c r="V9" s="81"/>
    </row>
    <row r="10" spans="1:22">
      <c r="B10" s="156"/>
      <c r="C10" s="156"/>
      <c r="D10" s="156"/>
      <c r="E10" s="156"/>
      <c r="F10" s="156"/>
      <c r="G10" s="156"/>
      <c r="H10" s="156"/>
      <c r="I10" s="156"/>
      <c r="J10" s="156"/>
      <c r="K10" s="156"/>
      <c r="L10" s="156"/>
      <c r="M10" s="156"/>
      <c r="N10" s="81"/>
      <c r="O10" s="154"/>
      <c r="P10" s="81"/>
      <c r="Q10" s="81"/>
      <c r="R10" s="81"/>
      <c r="S10" s="81"/>
      <c r="T10" s="81"/>
      <c r="U10" s="81"/>
      <c r="V10" s="81"/>
    </row>
    <row r="11" spans="1:22">
      <c r="A11" s="78" t="s">
        <v>110</v>
      </c>
      <c r="B11" s="157">
        <v>0</v>
      </c>
      <c r="C11" s="157">
        <v>0</v>
      </c>
      <c r="D11" s="157">
        <v>0</v>
      </c>
      <c r="E11" s="157">
        <v>0</v>
      </c>
      <c r="F11" s="157">
        <v>0</v>
      </c>
      <c r="G11" s="157">
        <v>0</v>
      </c>
      <c r="H11" s="157">
        <v>0</v>
      </c>
      <c r="I11" s="157">
        <v>0</v>
      </c>
      <c r="J11" s="157">
        <v>0</v>
      </c>
      <c r="K11" s="157">
        <v>0</v>
      </c>
      <c r="L11" s="157">
        <v>0</v>
      </c>
      <c r="M11" s="157">
        <v>0</v>
      </c>
      <c r="N11" s="81" t="s">
        <v>111</v>
      </c>
      <c r="O11" s="154"/>
      <c r="P11" s="81"/>
      <c r="Q11" s="81"/>
      <c r="R11" s="81"/>
      <c r="S11" s="81"/>
      <c r="T11" s="81"/>
      <c r="U11" s="81"/>
      <c r="V11" s="81"/>
    </row>
    <row r="12" spans="1:22">
      <c r="B12" s="155"/>
      <c r="C12" s="158"/>
      <c r="D12" s="81"/>
      <c r="E12" s="81"/>
      <c r="F12" s="81"/>
      <c r="G12" s="81"/>
      <c r="H12" s="81"/>
      <c r="I12" s="81"/>
      <c r="J12" s="81"/>
      <c r="K12" s="81"/>
      <c r="L12" s="81"/>
      <c r="M12" s="81"/>
      <c r="N12" s="81" t="s">
        <v>112</v>
      </c>
      <c r="O12" s="154"/>
      <c r="P12" s="81"/>
      <c r="Q12" s="81"/>
      <c r="R12" s="81"/>
      <c r="S12" s="81"/>
      <c r="T12" s="81"/>
      <c r="U12" s="81"/>
      <c r="V12" s="81"/>
    </row>
    <row r="13" spans="1:22">
      <c r="A13" s="78" t="s">
        <v>113</v>
      </c>
      <c r="B13" s="155">
        <f>(0.006918-0.399912*COS(B9)+0.070257*SIN(B9)-0.006758*COS(2*B9)+0.000907*SIN(2*B9)-0.002697*COS(3*B9)+0.00148*SIN(3*B9))</f>
        <v>-0.37127881851934269</v>
      </c>
      <c r="C13" s="155">
        <f t="shared" ref="C13:M13" si="2">(0.006918-0.399912*COS(C9)+0.070257*SIN(C9)-0.006758*COS(2*C9)+0.000907*SIN(2*C9)-0.002697*COS(3*C9)+0.00148*SIN(3*C9))</f>
        <v>-0.23199204542739821</v>
      </c>
      <c r="D13" s="155">
        <f t="shared" si="2"/>
        <v>-3.5639201425496904E-2</v>
      </c>
      <c r="E13" s="155">
        <f t="shared" si="2"/>
        <v>0.16547067846845137</v>
      </c>
      <c r="F13" s="155">
        <f t="shared" si="2"/>
        <v>0.32591622304615386</v>
      </c>
      <c r="G13" s="155">
        <f t="shared" si="2"/>
        <v>0.40551259518988658</v>
      </c>
      <c r="H13" s="155">
        <f t="shared" si="2"/>
        <v>0.38072332775160445</v>
      </c>
      <c r="I13" s="155">
        <f t="shared" si="2"/>
        <v>0.26025595859231709</v>
      </c>
      <c r="J13" s="155">
        <f t="shared" si="2"/>
        <v>7.8342463189662453E-2</v>
      </c>
      <c r="K13" s="155">
        <f t="shared" si="2"/>
        <v>-0.12377793964224269</v>
      </c>
      <c r="L13" s="155">
        <f t="shared" si="2"/>
        <v>-0.30059343843210085</v>
      </c>
      <c r="M13" s="155">
        <f t="shared" si="2"/>
        <v>-0.40023141553474034</v>
      </c>
      <c r="N13" s="81"/>
      <c r="O13" s="154"/>
      <c r="P13" s="81"/>
      <c r="Q13" s="81"/>
      <c r="R13" s="81"/>
      <c r="S13" s="81"/>
      <c r="T13" s="81"/>
      <c r="U13" s="81"/>
      <c r="V13" s="81"/>
    </row>
    <row r="14" spans="1:22">
      <c r="A14" s="78" t="s">
        <v>114</v>
      </c>
      <c r="B14" s="155">
        <f>DEGREES(B13)</f>
        <v>-21.272709323761966</v>
      </c>
      <c r="C14" s="155">
        <f t="shared" ref="C14:M14" si="3">DEGREES(C13)</f>
        <v>-13.292165083597185</v>
      </c>
      <c r="D14" s="155">
        <f t="shared" si="3"/>
        <v>-2.0419758268976</v>
      </c>
      <c r="E14" s="155">
        <f t="shared" si="3"/>
        <v>9.4807715094085285</v>
      </c>
      <c r="F14" s="155">
        <f t="shared" si="3"/>
        <v>18.673624055388991</v>
      </c>
      <c r="G14" s="155">
        <f t="shared" si="3"/>
        <v>23.234160243777549</v>
      </c>
      <c r="H14" s="155">
        <f t="shared" si="3"/>
        <v>21.813839842342905</v>
      </c>
      <c r="I14" s="155">
        <f t="shared" si="3"/>
        <v>14.911568020471282</v>
      </c>
      <c r="J14" s="155">
        <f t="shared" si="3"/>
        <v>4.4886924974266682</v>
      </c>
      <c r="K14" s="155">
        <f t="shared" si="3"/>
        <v>-7.0919535383255488</v>
      </c>
      <c r="L14" s="155">
        <f t="shared" si="3"/>
        <v>-17.222735371484937</v>
      </c>
      <c r="M14" s="155">
        <f t="shared" si="3"/>
        <v>-22.931570938687315</v>
      </c>
      <c r="N14" s="81" t="s">
        <v>115</v>
      </c>
      <c r="O14" s="154"/>
      <c r="P14" s="81"/>
      <c r="Q14" s="81"/>
      <c r="R14" s="81"/>
      <c r="S14" s="81"/>
      <c r="T14" s="81"/>
      <c r="U14" s="81"/>
      <c r="V14" s="81"/>
    </row>
    <row r="15" spans="1:22">
      <c r="B15" s="155"/>
      <c r="C15" s="155"/>
      <c r="D15" s="155"/>
      <c r="E15" s="155"/>
      <c r="F15" s="155"/>
      <c r="G15" s="155"/>
      <c r="H15" s="155"/>
      <c r="I15" s="155"/>
      <c r="J15" s="155"/>
      <c r="K15" s="155"/>
      <c r="L15" s="155"/>
      <c r="M15" s="155"/>
      <c r="N15" s="81"/>
      <c r="O15" s="154"/>
      <c r="P15" s="81"/>
      <c r="Q15" s="81"/>
      <c r="R15" s="81"/>
      <c r="S15" s="81"/>
      <c r="T15" s="81"/>
      <c r="U15" s="81"/>
      <c r="V15" s="81"/>
    </row>
    <row r="16" spans="1:22">
      <c r="B16" s="155"/>
      <c r="C16" s="155"/>
      <c r="D16" s="155"/>
      <c r="E16" s="155"/>
      <c r="F16" s="155"/>
      <c r="G16" s="155"/>
      <c r="H16" s="155"/>
      <c r="I16" s="155"/>
      <c r="J16" s="155"/>
      <c r="K16" s="155"/>
      <c r="L16" s="155"/>
      <c r="M16" s="155"/>
      <c r="N16" s="81"/>
      <c r="O16" s="154"/>
      <c r="P16" s="81"/>
      <c r="Q16" s="81"/>
      <c r="R16" s="81"/>
      <c r="S16" s="81"/>
      <c r="T16" s="81"/>
      <c r="U16" s="81"/>
      <c r="V16" s="81"/>
    </row>
    <row r="17" spans="1:22">
      <c r="A17" s="82" t="s">
        <v>116</v>
      </c>
      <c r="B17" s="159">
        <f t="shared" ref="B17:M17" si="4">ACOS(-(SIN($B$7)*SIN(B13)-SIN(3.1416/180*(-0.8333-(0.0347*SQRT(B11)))))/(COS($B$7)*COS(B13)))</f>
        <v>1.3144343895906174</v>
      </c>
      <c r="C17" s="159">
        <f t="shared" si="4"/>
        <v>1.4230816546527405</v>
      </c>
      <c r="D17" s="159">
        <f t="shared" si="4"/>
        <v>1.5635962894948749</v>
      </c>
      <c r="E17" s="159">
        <f t="shared" si="4"/>
        <v>1.7061421854713084</v>
      </c>
      <c r="F17" s="159">
        <f t="shared" si="4"/>
        <v>1.8290460071671326</v>
      </c>
      <c r="G17" s="159">
        <f t="shared" si="4"/>
        <v>1.8964463414718475</v>
      </c>
      <c r="H17" s="159">
        <f t="shared" si="4"/>
        <v>1.8748419546978032</v>
      </c>
      <c r="I17" s="159">
        <f t="shared" si="4"/>
        <v>1.7770915421226192</v>
      </c>
      <c r="J17" s="159">
        <f t="shared" si="4"/>
        <v>1.6436379864907649</v>
      </c>
      <c r="K17" s="159">
        <f t="shared" si="4"/>
        <v>1.5015163503780418</v>
      </c>
      <c r="L17" s="159">
        <f t="shared" si="4"/>
        <v>1.3710024147851931</v>
      </c>
      <c r="M17" s="159">
        <f t="shared" si="4"/>
        <v>1.290171202718265</v>
      </c>
      <c r="N17" s="81"/>
      <c r="O17" s="154"/>
      <c r="P17" s="81"/>
      <c r="Q17" s="81"/>
      <c r="R17" s="81"/>
      <c r="S17" s="81"/>
      <c r="T17" s="81"/>
      <c r="U17" s="81"/>
      <c r="V17" s="81"/>
    </row>
    <row r="18" spans="1:22">
      <c r="A18" s="82" t="s">
        <v>117</v>
      </c>
      <c r="B18" s="159">
        <f>DEGREES(B17)</f>
        <v>75.311542970396971</v>
      </c>
      <c r="C18" s="159">
        <f t="shared" ref="C18:M18" si="5">DEGREES(C17)</f>
        <v>81.536572714095783</v>
      </c>
      <c r="D18" s="159">
        <f t="shared" si="5"/>
        <v>89.587468250371998</v>
      </c>
      <c r="E18" s="159">
        <f t="shared" si="5"/>
        <v>97.754746476732493</v>
      </c>
      <c r="F18" s="159">
        <f t="shared" si="5"/>
        <v>104.79661674593162</v>
      </c>
      <c r="G18" s="159">
        <f t="shared" si="5"/>
        <v>108.65837143936261</v>
      </c>
      <c r="H18" s="159">
        <f t="shared" si="5"/>
        <v>107.42053125824161</v>
      </c>
      <c r="I18" s="159">
        <f t="shared" si="5"/>
        <v>101.81984517202103</v>
      </c>
      <c r="J18" s="159">
        <f t="shared" si="5"/>
        <v>94.173519673301442</v>
      </c>
      <c r="K18" s="159">
        <f t="shared" si="5"/>
        <v>86.030549746548346</v>
      </c>
      <c r="L18" s="159">
        <f t="shared" si="5"/>
        <v>78.552652069435865</v>
      </c>
      <c r="M18" s="159">
        <f t="shared" si="5"/>
        <v>73.921364765073946</v>
      </c>
      <c r="N18" s="81"/>
      <c r="O18" s="154"/>
      <c r="P18" s="81"/>
      <c r="Q18" s="81"/>
      <c r="R18" s="81"/>
      <c r="S18" s="81"/>
      <c r="T18" s="81"/>
      <c r="U18" s="81"/>
      <c r="V18" s="81"/>
    </row>
    <row r="19" spans="1:22">
      <c r="B19" s="83"/>
      <c r="C19" s="83"/>
      <c r="D19" s="83"/>
      <c r="E19" s="83"/>
      <c r="F19" s="83"/>
      <c r="G19" s="83"/>
      <c r="H19" s="83"/>
      <c r="I19" s="83"/>
      <c r="J19" s="83"/>
      <c r="K19" s="83"/>
      <c r="L19" s="83"/>
      <c r="M19" s="83"/>
    </row>
    <row r="20" spans="1:22" ht="15.75">
      <c r="A20" s="84" t="s">
        <v>118</v>
      </c>
      <c r="B20" s="367">
        <f>2*(B18)/15</f>
        <v>10.041539062719597</v>
      </c>
      <c r="C20" s="367">
        <f t="shared" ref="C20:M20" si="6">2*(C18)/15</f>
        <v>10.871543028546105</v>
      </c>
      <c r="D20" s="367">
        <f t="shared" si="6"/>
        <v>11.944995766716266</v>
      </c>
      <c r="E20" s="367">
        <f t="shared" si="6"/>
        <v>13.033966196897666</v>
      </c>
      <c r="F20" s="367">
        <f t="shared" si="6"/>
        <v>13.972882232790882</v>
      </c>
      <c r="G20" s="367">
        <f t="shared" si="6"/>
        <v>14.487782858581681</v>
      </c>
      <c r="H20" s="367">
        <f t="shared" si="6"/>
        <v>14.322737501098882</v>
      </c>
      <c r="I20" s="367">
        <f t="shared" si="6"/>
        <v>13.575979356269471</v>
      </c>
      <c r="J20" s="367">
        <f t="shared" si="6"/>
        <v>12.556469289773526</v>
      </c>
      <c r="K20" s="367">
        <f t="shared" si="6"/>
        <v>11.470739966206446</v>
      </c>
      <c r="L20" s="367">
        <f t="shared" si="6"/>
        <v>10.473686942591449</v>
      </c>
      <c r="M20" s="367">
        <f t="shared" si="6"/>
        <v>9.8561819686765269</v>
      </c>
    </row>
    <row r="21" spans="1:22" ht="15.75">
      <c r="A21" s="84" t="s">
        <v>143</v>
      </c>
      <c r="B21" s="367">
        <f>B20*31</f>
        <v>311.28771094430749</v>
      </c>
      <c r="C21" s="367">
        <f>C20*28</f>
        <v>304.40320479929096</v>
      </c>
      <c r="D21" s="367">
        <f t="shared" ref="D21:M21" si="7">D20*31</f>
        <v>370.29486876820425</v>
      </c>
      <c r="E21" s="367">
        <f>E20*30</f>
        <v>391.01898590692997</v>
      </c>
      <c r="F21" s="367">
        <f t="shared" si="7"/>
        <v>433.15934921651734</v>
      </c>
      <c r="G21" s="367">
        <f>G20*30</f>
        <v>434.63348575745044</v>
      </c>
      <c r="H21" s="367">
        <f t="shared" si="7"/>
        <v>444.00486253406535</v>
      </c>
      <c r="I21" s="367">
        <f t="shared" si="7"/>
        <v>420.85536004435357</v>
      </c>
      <c r="J21" s="367">
        <f>J20*30</f>
        <v>376.69407869320577</v>
      </c>
      <c r="K21" s="367">
        <f t="shared" si="7"/>
        <v>355.59293895239983</v>
      </c>
      <c r="L21" s="367">
        <f t="shared" si="7"/>
        <v>324.68429522033495</v>
      </c>
      <c r="M21" s="367">
        <f t="shared" si="7"/>
        <v>305.54164102897232</v>
      </c>
    </row>
    <row r="23" spans="1:22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</row>
    <row r="24" spans="1:22" ht="15">
      <c r="A24" s="92" t="s">
        <v>122</v>
      </c>
      <c r="B24" s="91"/>
      <c r="C24" s="91"/>
      <c r="D24" s="89"/>
      <c r="E24" s="89"/>
      <c r="F24" s="90"/>
      <c r="G24" s="89"/>
      <c r="H24" s="89"/>
      <c r="I24" s="90"/>
      <c r="J24" s="89"/>
      <c r="K24" s="89"/>
      <c r="L24" s="89"/>
      <c r="M24" s="89"/>
      <c r="N24"/>
      <c r="O24"/>
      <c r="P24"/>
      <c r="Q24"/>
      <c r="R24"/>
      <c r="S24"/>
      <c r="T24"/>
    </row>
    <row r="25" spans="1:22" ht="15">
      <c r="A25" s="87"/>
      <c r="B25" s="88"/>
      <c r="C25" s="88"/>
      <c r="D25" s="23"/>
      <c r="E25" s="23"/>
      <c r="F25" s="23"/>
      <c r="G25"/>
      <c r="H25"/>
      <c r="I25"/>
      <c r="J25"/>
      <c r="K25"/>
      <c r="L25"/>
      <c r="M25"/>
      <c r="N25"/>
      <c r="O25"/>
      <c r="P25"/>
      <c r="Q25"/>
      <c r="R25"/>
      <c r="S25"/>
      <c r="T25"/>
    </row>
    <row r="26" spans="1:22" ht="15.75">
      <c r="A26" s="87"/>
      <c r="B26" s="160" t="s">
        <v>26</v>
      </c>
      <c r="C26" s="160" t="s">
        <v>27</v>
      </c>
      <c r="D26" s="160" t="s">
        <v>28</v>
      </c>
      <c r="E26" s="160" t="s">
        <v>29</v>
      </c>
      <c r="F26" s="160" t="s">
        <v>30</v>
      </c>
      <c r="G26" s="160" t="s">
        <v>31</v>
      </c>
      <c r="H26" s="160" t="s">
        <v>32</v>
      </c>
      <c r="I26" s="160" t="s">
        <v>33</v>
      </c>
      <c r="J26" s="160" t="s">
        <v>34</v>
      </c>
      <c r="K26" s="160" t="s">
        <v>23</v>
      </c>
      <c r="L26" s="160" t="s">
        <v>24</v>
      </c>
      <c r="M26" s="160" t="s">
        <v>25</v>
      </c>
      <c r="N26"/>
      <c r="O26"/>
      <c r="P26"/>
      <c r="Q26"/>
      <c r="R26"/>
      <c r="S26"/>
      <c r="T26"/>
    </row>
    <row r="27" spans="1:22">
      <c r="A27"/>
      <c r="B27" s="86"/>
      <c r="C27" s="86"/>
      <c r="D27" s="86"/>
      <c r="E27" s="86"/>
      <c r="F27" s="86"/>
      <c r="G27" s="86"/>
      <c r="H27" s="86"/>
      <c r="I27" s="86"/>
      <c r="J27" s="86"/>
      <c r="K27" s="86"/>
      <c r="L27" s="86"/>
      <c r="M27" s="86"/>
      <c r="N27"/>
      <c r="O27"/>
      <c r="P27"/>
      <c r="Q27"/>
      <c r="R27"/>
      <c r="S27"/>
      <c r="T27"/>
    </row>
    <row r="28" spans="1:22">
      <c r="A28" t="s">
        <v>121</v>
      </c>
      <c r="B28" s="85">
        <f t="shared" ref="B28:M28" si="8">(1.00011+0.034221*COS(B9)+0.00128*SIN(B9)+0.000719*COS(2*B9)+0.000777*SIN(2*B9))</f>
        <v>1.0346447793312246</v>
      </c>
      <c r="C28" s="85">
        <f t="shared" si="8"/>
        <v>1.0266706520175066</v>
      </c>
      <c r="D28" s="85">
        <f t="shared" si="8"/>
        <v>1.0111859711798292</v>
      </c>
      <c r="E28" s="85">
        <f t="shared" si="8"/>
        <v>0.99292752675796481</v>
      </c>
      <c r="F28" s="85">
        <f t="shared" si="8"/>
        <v>0.97724332780938028</v>
      </c>
      <c r="G28" s="85">
        <f t="shared" si="8"/>
        <v>0.96812640387322424</v>
      </c>
      <c r="H28" s="85">
        <f t="shared" si="8"/>
        <v>0.96726866218009577</v>
      </c>
      <c r="I28" s="85">
        <f t="shared" si="8"/>
        <v>0.97428860933632322</v>
      </c>
      <c r="J28" s="85">
        <f t="shared" si="8"/>
        <v>0.9874210889312508</v>
      </c>
      <c r="K28" s="85">
        <f t="shared" si="8"/>
        <v>1.0039135049165988</v>
      </c>
      <c r="L28" s="85">
        <f t="shared" si="8"/>
        <v>1.0200877665056907</v>
      </c>
      <c r="M28" s="85">
        <f t="shared" si="8"/>
        <v>1.0316915575898387</v>
      </c>
      <c r="N28"/>
      <c r="O28"/>
      <c r="P28"/>
      <c r="Q28"/>
      <c r="R28"/>
      <c r="S28"/>
      <c r="T28"/>
    </row>
    <row r="29" spans="1:22">
      <c r="A29"/>
      <c r="B29" s="85"/>
      <c r="C29" s="85"/>
      <c r="D29" s="85"/>
      <c r="E29" s="85"/>
      <c r="F29" s="85"/>
      <c r="G29" s="85"/>
      <c r="H29" s="85"/>
      <c r="I29" s="85"/>
      <c r="J29" s="85"/>
      <c r="K29" s="85"/>
      <c r="L29" s="85"/>
      <c r="M29" s="85"/>
      <c r="N29"/>
      <c r="O29"/>
      <c r="P29"/>
      <c r="Q29"/>
      <c r="R29"/>
      <c r="S29"/>
      <c r="T29"/>
    </row>
    <row r="30" spans="1:22" ht="15">
      <c r="A30" s="161" t="s">
        <v>120</v>
      </c>
      <c r="B30" s="368">
        <f>898*(B28)*(SIN($B$7)*SIN(B13)*B17+(COS($B$7)*COS(B13)*SIN(B17)))</f>
        <v>431.90725304259854</v>
      </c>
      <c r="C30" s="368">
        <f t="shared" ref="C30:M30" si="9">898*(C28)*(SIN($B$7)*SIN(C13)*C17+(COS($B$7)*COS(C13)*SIN(C17)))</f>
        <v>553.96032366478209</v>
      </c>
      <c r="D30" s="368">
        <f t="shared" si="9"/>
        <v>714.31785945535455</v>
      </c>
      <c r="E30" s="368">
        <f t="shared" si="9"/>
        <v>857.55787891032605</v>
      </c>
      <c r="F30" s="368">
        <f t="shared" si="9"/>
        <v>953.20404799614698</v>
      </c>
      <c r="G30" s="368">
        <f t="shared" si="9"/>
        <v>993.06162325343348</v>
      </c>
      <c r="H30" s="368">
        <f t="shared" si="9"/>
        <v>977.36826911783589</v>
      </c>
      <c r="I30" s="368">
        <f t="shared" si="9"/>
        <v>907.34954457111053</v>
      </c>
      <c r="J30" s="368">
        <f t="shared" si="9"/>
        <v>787.62025179173543</v>
      </c>
      <c r="K30" s="368">
        <f t="shared" si="9"/>
        <v>635.21159127157409</v>
      </c>
      <c r="L30" s="368">
        <f t="shared" si="9"/>
        <v>489.18517652592783</v>
      </c>
      <c r="M30" s="368">
        <f t="shared" si="9"/>
        <v>404.46645927850972</v>
      </c>
      <c r="N30"/>
      <c r="O30"/>
      <c r="P30"/>
      <c r="Q30"/>
      <c r="R30"/>
      <c r="S30"/>
      <c r="T30"/>
    </row>
    <row r="31" spans="1:22" ht="15">
      <c r="A31" s="161" t="s">
        <v>119</v>
      </c>
      <c r="B31" s="368">
        <f t="shared" ref="B31:M31" si="10">(B30)*0.0418652</f>
        <v>18.081883530078997</v>
      </c>
      <c r="C31" s="368">
        <f t="shared" si="10"/>
        <v>23.191659742290835</v>
      </c>
      <c r="D31" s="368">
        <f t="shared" si="10"/>
        <v>29.905060049670308</v>
      </c>
      <c r="E31" s="368">
        <f t="shared" si="10"/>
        <v>35.901832112156583</v>
      </c>
      <c r="F31" s="368">
        <f t="shared" si="10"/>
        <v>39.906078110168288</v>
      </c>
      <c r="G31" s="368">
        <f t="shared" si="10"/>
        <v>41.574723469829642</v>
      </c>
      <c r="H31" s="368">
        <f t="shared" si="10"/>
        <v>40.917718060272023</v>
      </c>
      <c r="I31" s="368">
        <f t="shared" si="10"/>
        <v>37.986370153378452</v>
      </c>
      <c r="J31" s="368">
        <f t="shared" si="10"/>
        <v>32.973879365311362</v>
      </c>
      <c r="K31" s="368">
        <f t="shared" si="10"/>
        <v>26.593260310902703</v>
      </c>
      <c r="L31" s="368">
        <f t="shared" si="10"/>
        <v>20.479835252293274</v>
      </c>
      <c r="M31" s="368">
        <f t="shared" si="10"/>
        <v>16.933069210986666</v>
      </c>
      <c r="N31"/>
      <c r="O31"/>
      <c r="P31"/>
      <c r="Q31"/>
      <c r="R31"/>
      <c r="S31"/>
      <c r="T31"/>
    </row>
    <row r="33" spans="1:20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</row>
    <row r="34" spans="1:20" ht="15">
      <c r="A34" s="92" t="s">
        <v>243</v>
      </c>
      <c r="B34" s="91"/>
      <c r="C34" s="91"/>
      <c r="D34" s="89"/>
      <c r="E34" s="89"/>
      <c r="F34" s="90"/>
      <c r="G34" s="89"/>
      <c r="H34" s="89"/>
      <c r="I34" s="90"/>
      <c r="J34" s="89"/>
      <c r="K34" s="89"/>
      <c r="L34" s="89"/>
      <c r="M34" s="89"/>
      <c r="N34"/>
      <c r="O34"/>
      <c r="P34"/>
      <c r="Q34"/>
      <c r="R34"/>
      <c r="S34"/>
      <c r="T34"/>
    </row>
    <row r="36" spans="1:20" ht="30">
      <c r="A36" s="307" t="str">
        <f>Datos_básicos!A26</f>
        <v>Insolación media diaria (horas)</v>
      </c>
      <c r="B36" s="307">
        <f>Datos_básicos!B26</f>
        <v>9</v>
      </c>
      <c r="C36" s="307">
        <f>Datos_básicos!C26</f>
        <v>8.7750000000000004</v>
      </c>
      <c r="D36" s="307">
        <f>Datos_básicos!D26</f>
        <v>7</v>
      </c>
      <c r="E36" s="307">
        <f>Datos_básicos!E26</f>
        <v>5.8</v>
      </c>
      <c r="F36" s="307">
        <f>Datos_básicos!F26</f>
        <v>3.7</v>
      </c>
      <c r="G36" s="307">
        <f>Datos_básicos!G26</f>
        <v>2.7</v>
      </c>
      <c r="H36" s="307">
        <f>Datos_básicos!H26</f>
        <v>3</v>
      </c>
      <c r="I36" s="307">
        <f>Datos_básicos!I26</f>
        <v>3.8</v>
      </c>
      <c r="J36" s="307">
        <f>Datos_básicos!J26</f>
        <v>4.9000000000000004</v>
      </c>
      <c r="K36" s="307">
        <f>Datos_básicos!K26</f>
        <v>5.5</v>
      </c>
      <c r="L36" s="307">
        <f>Datos_básicos!L26</f>
        <v>7.2</v>
      </c>
      <c r="M36" s="307">
        <f>Datos_básicos!M26</f>
        <v>8.5</v>
      </c>
    </row>
    <row r="38" spans="1:20" ht="23.25" customHeight="1">
      <c r="A38" s="306" t="s">
        <v>241</v>
      </c>
      <c r="B38" s="305">
        <f>IF(B31*0.131+B36*0.931-3.052&lt;0,0,IF(B31*0.131+B36*0.931-3.052&gt;12,12,B31*0.131+B36*0.931-3.052))</f>
        <v>7.6957267424403497</v>
      </c>
      <c r="C38" s="305">
        <f t="shared" ref="C38:M38" si="11">IF(C31*0.131+C36*0.931-3.052&lt;0,0,IF(C31*0.131+C36*0.931-3.052&gt;12,12,C31*0.131+C36*0.931-3.052))</f>
        <v>8.1556324262400999</v>
      </c>
      <c r="D38" s="305">
        <f t="shared" si="11"/>
        <v>7.3825628665068113</v>
      </c>
      <c r="E38" s="305">
        <f t="shared" si="11"/>
        <v>7.0509400066925139</v>
      </c>
      <c r="F38" s="305">
        <f t="shared" si="11"/>
        <v>5.6203962324320464</v>
      </c>
      <c r="G38" s="305">
        <f t="shared" si="11"/>
        <v>4.9079887745476842</v>
      </c>
      <c r="H38" s="305">
        <f t="shared" si="11"/>
        <v>5.1012210658956363</v>
      </c>
      <c r="I38" s="305">
        <f t="shared" si="11"/>
        <v>5.462014490092578</v>
      </c>
      <c r="J38" s="305">
        <f t="shared" si="11"/>
        <v>5.8294781968557885</v>
      </c>
      <c r="K38" s="305">
        <f t="shared" si="11"/>
        <v>5.5522171007282548</v>
      </c>
      <c r="L38" s="305">
        <f t="shared" si="11"/>
        <v>6.3340584180504198</v>
      </c>
      <c r="M38" s="305">
        <f t="shared" si="11"/>
        <v>7.079732066639254</v>
      </c>
    </row>
  </sheetData>
  <conditionalFormatting sqref="B38:M38">
    <cfRule type="colorScale" priority="1">
      <colorScale>
        <cfvo type="num" val="0"/>
        <cfvo type="num" val="12"/>
        <color rgb="FFFFFF00"/>
        <color rgb="FFFF0000"/>
      </colorScale>
    </cfRule>
    <cfRule type="colorScale" priority="2">
      <colorScale>
        <cfvo type="min"/>
        <cfvo type="max"/>
        <color rgb="FFFFFF00"/>
        <color rgb="FFFF0000"/>
      </colorScale>
    </cfRule>
  </conditionalFormatting>
  <pageMargins left="0.75" right="0.75" top="1" bottom="1" header="0" footer="0"/>
  <pageSetup paperSize="9" orientation="portrait" horizontalDpi="300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26"/>
  <sheetViews>
    <sheetView zoomScale="75" zoomScaleNormal="75" workbookViewId="0">
      <selection activeCell="G34" sqref="G34"/>
    </sheetView>
  </sheetViews>
  <sheetFormatPr baseColWidth="10" defaultRowHeight="12.75"/>
  <cols>
    <col min="1" max="1" width="15.42578125" style="2" customWidth="1"/>
    <col min="2" max="14" width="8.85546875" style="2" customWidth="1"/>
    <col min="15" max="17" width="5.7109375" style="2" customWidth="1"/>
    <col min="18" max="16384" width="11.42578125" style="2"/>
  </cols>
  <sheetData>
    <row r="2" spans="1:14" ht="18">
      <c r="A2" s="102" t="s">
        <v>131</v>
      </c>
      <c r="B2" s="3"/>
      <c r="C2" s="4" t="str">
        <f>nombre</f>
        <v>Santander</v>
      </c>
      <c r="D2" s="5"/>
      <c r="E2" s="5"/>
      <c r="F2" s="5"/>
      <c r="G2" s="103" t="s">
        <v>132</v>
      </c>
      <c r="H2" s="6"/>
      <c r="I2" s="6"/>
      <c r="J2" s="4">
        <f>lat_grados</f>
        <v>35</v>
      </c>
      <c r="K2" s="6" t="s">
        <v>1</v>
      </c>
      <c r="L2" s="4">
        <f>latitud_min</f>
        <v>30</v>
      </c>
      <c r="M2" s="6" t="s">
        <v>2</v>
      </c>
      <c r="N2" s="7" t="str">
        <f>Datos_básicos!H6</f>
        <v>S</v>
      </c>
    </row>
    <row r="34" spans="1:14" ht="21" customHeight="1" thickBot="1">
      <c r="A34" s="105" t="s">
        <v>133</v>
      </c>
      <c r="B34" s="104"/>
      <c r="C34" s="356"/>
      <c r="D34" s="356"/>
      <c r="E34" s="356"/>
      <c r="F34" s="356"/>
      <c r="G34" s="362" t="str">
        <f>Climograma!C106</f>
        <v>BSslk'</v>
      </c>
      <c r="H34" s="353"/>
      <c r="I34" s="106" t="s">
        <v>134</v>
      </c>
      <c r="J34" s="357"/>
      <c r="K34" s="357"/>
      <c r="L34" s="357"/>
      <c r="M34" s="358"/>
      <c r="N34" s="8" t="str">
        <f>Climograma!G100</f>
        <v>Zona Verde</v>
      </c>
    </row>
    <row r="35" spans="1:14" ht="21" customHeight="1" thickBot="1">
      <c r="A35" s="9"/>
      <c r="B35" s="352"/>
      <c r="C35" s="352"/>
      <c r="D35" s="352"/>
      <c r="E35" s="352"/>
      <c r="F35" s="352"/>
      <c r="G35" s="11"/>
      <c r="H35" s="353"/>
      <c r="I35" s="12"/>
      <c r="J35" s="359"/>
      <c r="K35" s="360"/>
      <c r="L35" s="360"/>
      <c r="M35" s="360"/>
      <c r="N35" s="13" t="str">
        <f>Climograma!G112</f>
        <v>Marítima</v>
      </c>
    </row>
    <row r="36" spans="1:14" ht="21" customHeight="1">
      <c r="A36" s="9"/>
      <c r="B36" s="352"/>
      <c r="C36" s="352"/>
      <c r="D36" s="352"/>
      <c r="E36" s="352"/>
      <c r="F36" s="352"/>
      <c r="G36" s="11"/>
      <c r="H36" s="353"/>
      <c r="I36" s="330"/>
      <c r="J36" s="361"/>
      <c r="K36" s="352"/>
      <c r="L36" s="352"/>
      <c r="M36" s="352"/>
      <c r="N36" s="332"/>
    </row>
    <row r="38" spans="1:14" ht="17.25" customHeight="1">
      <c r="I38" s="330"/>
      <c r="J38" s="331"/>
      <c r="K38" s="10"/>
      <c r="L38" s="10"/>
      <c r="M38" s="10"/>
      <c r="N38" s="332"/>
    </row>
    <row r="39" spans="1:14" ht="17.25" customHeight="1" thickBot="1">
      <c r="A39" s="14"/>
      <c r="G39" s="15"/>
    </row>
    <row r="40" spans="1:14" ht="17.25" customHeight="1">
      <c r="A40" s="339"/>
      <c r="B40" s="347" t="s">
        <v>90</v>
      </c>
      <c r="C40" s="347" t="s">
        <v>91</v>
      </c>
      <c r="D40" s="347" t="s">
        <v>92</v>
      </c>
      <c r="E40" s="347" t="s">
        <v>93</v>
      </c>
      <c r="F40" s="347" t="s">
        <v>92</v>
      </c>
      <c r="G40" s="347" t="s">
        <v>94</v>
      </c>
      <c r="H40" s="347" t="s">
        <v>95</v>
      </c>
      <c r="I40" s="347" t="s">
        <v>93</v>
      </c>
      <c r="J40" s="347" t="s">
        <v>96</v>
      </c>
      <c r="K40" s="347" t="s">
        <v>97</v>
      </c>
      <c r="L40" s="347" t="s">
        <v>3</v>
      </c>
      <c r="M40" s="347" t="s">
        <v>98</v>
      </c>
      <c r="N40" s="340"/>
    </row>
    <row r="41" spans="1:14" ht="17.25" customHeight="1">
      <c r="A41" s="345" t="s">
        <v>244</v>
      </c>
      <c r="B41" s="348">
        <f>Datos_básicos!B13</f>
        <v>17.3</v>
      </c>
      <c r="C41" s="348">
        <f>Datos_básicos!C13</f>
        <v>17.399999999999999</v>
      </c>
      <c r="D41" s="348">
        <f>Datos_básicos!D13</f>
        <v>16.5</v>
      </c>
      <c r="E41" s="348">
        <f>Datos_básicos!E13</f>
        <v>14.9</v>
      </c>
      <c r="F41" s="348">
        <f>Datos_básicos!F13</f>
        <v>13.7</v>
      </c>
      <c r="G41" s="348">
        <f>Datos_básicos!G13</f>
        <v>12.5</v>
      </c>
      <c r="H41" s="348">
        <f>Datos_básicos!H13</f>
        <v>11.8</v>
      </c>
      <c r="I41" s="348">
        <f>Datos_básicos!I13</f>
        <v>12.4</v>
      </c>
      <c r="J41" s="348">
        <f>Datos_básicos!J13</f>
        <v>13</v>
      </c>
      <c r="K41" s="348">
        <f>Datos_básicos!K13</f>
        <v>13.9</v>
      </c>
      <c r="L41" s="348">
        <f>Datos_básicos!L13</f>
        <v>15</v>
      </c>
      <c r="M41" s="348">
        <f>Datos_básicos!M13</f>
        <v>16.2</v>
      </c>
      <c r="N41" s="346" t="s">
        <v>5</v>
      </c>
    </row>
    <row r="42" spans="1:14" ht="17.25" customHeight="1">
      <c r="A42" s="341" t="s">
        <v>20</v>
      </c>
      <c r="B42" s="348">
        <f>Datos_básicos!B20</f>
        <v>0.4</v>
      </c>
      <c r="C42" s="348">
        <f>Datos_básicos!C20</f>
        <v>0</v>
      </c>
      <c r="D42" s="348">
        <f>Datos_básicos!D20</f>
        <v>3.7</v>
      </c>
      <c r="E42" s="348">
        <f>Datos_básicos!E20</f>
        <v>13.3</v>
      </c>
      <c r="F42" s="348">
        <f>Datos_básicos!F20</f>
        <v>54.5</v>
      </c>
      <c r="G42" s="348">
        <f>Datos_básicos!G20</f>
        <v>83.1</v>
      </c>
      <c r="H42" s="348">
        <f>Datos_básicos!H20</f>
        <v>111.2</v>
      </c>
      <c r="I42" s="348">
        <f>Datos_básicos!I20</f>
        <v>60</v>
      </c>
      <c r="J42" s="348">
        <f>Datos_básicos!J20</f>
        <v>26.7</v>
      </c>
      <c r="K42" s="348">
        <f>Datos_básicos!K20</f>
        <v>10.4</v>
      </c>
      <c r="L42" s="348">
        <f>Datos_básicos!L20</f>
        <v>7.9</v>
      </c>
      <c r="M42" s="348">
        <f>Datos_básicos!M20</f>
        <v>1.3</v>
      </c>
      <c r="N42" s="342" t="s">
        <v>6</v>
      </c>
    </row>
    <row r="43" spans="1:14" ht="17.25" customHeight="1">
      <c r="A43" s="341" t="s">
        <v>247</v>
      </c>
      <c r="B43" s="348">
        <f>Datos_básicos!B27</f>
        <v>1</v>
      </c>
      <c r="C43" s="348">
        <f>Datos_básicos!C27</f>
        <v>0.3</v>
      </c>
      <c r="D43" s="348">
        <f>Datos_básicos!D27</f>
        <v>0.3</v>
      </c>
      <c r="E43" s="348">
        <f>Datos_básicos!E27</f>
        <v>1.9</v>
      </c>
      <c r="F43" s="348">
        <f>Datos_básicos!F27</f>
        <v>5.3</v>
      </c>
      <c r="G43" s="348">
        <f>Datos_básicos!G27</f>
        <v>5.5</v>
      </c>
      <c r="H43" s="348">
        <f>Datos_básicos!H27</f>
        <v>4.8</v>
      </c>
      <c r="I43" s="348">
        <f>Datos_básicos!I27</f>
        <v>3.8</v>
      </c>
      <c r="J43" s="348">
        <f>Datos_básicos!J27</f>
        <v>2.2000000000000002</v>
      </c>
      <c r="K43" s="348">
        <f>Datos_básicos!K27</f>
        <v>2.2999999999999998</v>
      </c>
      <c r="L43" s="348">
        <f>Datos_básicos!L27</f>
        <v>1.4</v>
      </c>
      <c r="M43" s="348">
        <f>Datos_básicos!M27</f>
        <v>1.1000000000000001</v>
      </c>
      <c r="N43" s="342"/>
    </row>
    <row r="44" spans="1:14" ht="17.25" customHeight="1" thickBot="1">
      <c r="A44" s="343" t="s">
        <v>248</v>
      </c>
      <c r="B44" s="349">
        <f>Datos_básicos!B21</f>
        <v>1.5</v>
      </c>
      <c r="C44" s="349">
        <f>Datos_básicos!C21</f>
        <v>0.3</v>
      </c>
      <c r="D44" s="349">
        <f>Datos_básicos!D21</f>
        <v>10.9</v>
      </c>
      <c r="E44" s="349">
        <f>Datos_básicos!E21</f>
        <v>35.299999999999997</v>
      </c>
      <c r="F44" s="349">
        <f>Datos_básicos!F21</f>
        <v>29.5</v>
      </c>
      <c r="G44" s="349">
        <f>Datos_básicos!G21</f>
        <v>51.1</v>
      </c>
      <c r="H44" s="349">
        <f>Datos_básicos!H21</f>
        <v>39</v>
      </c>
      <c r="I44" s="349">
        <f>Datos_básicos!I21</f>
        <v>46.7</v>
      </c>
      <c r="J44" s="349">
        <f>Datos_básicos!J21</f>
        <v>51.1</v>
      </c>
      <c r="K44" s="349">
        <f>Datos_básicos!K21</f>
        <v>47.2</v>
      </c>
      <c r="L44" s="349">
        <f>Datos_básicos!L21</f>
        <v>30</v>
      </c>
      <c r="M44" s="349">
        <f>Datos_básicos!M21</f>
        <v>19.3</v>
      </c>
      <c r="N44" s="344"/>
    </row>
    <row r="45" spans="1:14" ht="17.25" customHeight="1" thickBot="1"/>
    <row r="46" spans="1:14" ht="17.25" customHeight="1">
      <c r="A46" s="372" t="s">
        <v>19</v>
      </c>
      <c r="B46" s="373"/>
      <c r="C46" s="373"/>
      <c r="D46" s="373"/>
      <c r="E46" s="373"/>
      <c r="F46" s="373"/>
      <c r="G46" s="373"/>
      <c r="H46" s="374"/>
      <c r="I46" s="374"/>
      <c r="J46" s="374"/>
      <c r="K46" s="374"/>
      <c r="L46" s="374"/>
      <c r="M46" s="374"/>
      <c r="N46" s="375"/>
    </row>
    <row r="47" spans="1:14" ht="17.25" customHeight="1">
      <c r="A47" s="390" t="s">
        <v>100</v>
      </c>
      <c r="B47" s="371"/>
      <c r="C47" s="376"/>
      <c r="D47" s="376"/>
      <c r="E47" s="377"/>
      <c r="F47" s="388">
        <f>AVERAGE(B41:M41)</f>
        <v>14.549999999999999</v>
      </c>
      <c r="G47" s="376"/>
      <c r="H47" s="378"/>
      <c r="I47" s="378"/>
      <c r="J47" s="378"/>
      <c r="K47" s="378"/>
      <c r="L47" s="378"/>
      <c r="M47" s="371"/>
      <c r="N47" s="379"/>
    </row>
    <row r="48" spans="1:14" ht="17.25" customHeight="1">
      <c r="A48" s="390" t="s">
        <v>101</v>
      </c>
      <c r="B48" s="371"/>
      <c r="C48" s="376"/>
      <c r="D48" s="376"/>
      <c r="E48" s="377"/>
      <c r="F48" s="381">
        <f>Climograma!H87</f>
        <v>5.5999999999999979</v>
      </c>
      <c r="G48" s="376"/>
      <c r="H48" s="378"/>
      <c r="I48" s="378"/>
      <c r="J48" s="378"/>
      <c r="K48" s="378"/>
      <c r="L48" s="378"/>
      <c r="M48" s="371"/>
      <c r="N48" s="379"/>
    </row>
    <row r="49" spans="1:14" ht="17.25" customHeight="1">
      <c r="A49" s="390" t="s">
        <v>52</v>
      </c>
      <c r="B49" s="371"/>
      <c r="C49" s="376"/>
      <c r="D49" s="376"/>
      <c r="E49" s="377"/>
      <c r="F49" s="389" t="str">
        <f>Climograma!C107</f>
        <v>Fresco</v>
      </c>
      <c r="G49" s="376"/>
      <c r="H49" s="378"/>
      <c r="I49" s="378"/>
      <c r="J49" s="378"/>
      <c r="K49" s="378"/>
      <c r="L49" s="378"/>
      <c r="M49" s="371"/>
      <c r="N49" s="379"/>
    </row>
    <row r="50" spans="1:14" ht="17.25" customHeight="1">
      <c r="A50" s="390" t="s">
        <v>51</v>
      </c>
      <c r="B50" s="371"/>
      <c r="C50" s="376"/>
      <c r="D50" s="376"/>
      <c r="E50" s="377"/>
      <c r="F50" s="389" t="str">
        <f>Climograma!C108</f>
        <v>Templado</v>
      </c>
      <c r="G50" s="376"/>
      <c r="H50" s="378"/>
      <c r="I50" s="378"/>
      <c r="J50" s="378"/>
      <c r="K50" s="378"/>
      <c r="L50" s="378"/>
      <c r="M50" s="371"/>
      <c r="N50" s="379"/>
    </row>
    <row r="51" spans="1:14" ht="21" customHeight="1" thickBot="1">
      <c r="A51" s="382" t="s">
        <v>251</v>
      </c>
      <c r="B51" s="383"/>
      <c r="C51" s="383"/>
      <c r="D51" s="383"/>
      <c r="E51" s="383"/>
      <c r="F51" s="384" t="str">
        <f>IF(H51&lt;20,"Hiperoceánico",IF(H51&gt;80,"Hipercontinental",IF(H51&gt;60,"Continental",IF(H51&gt;40,"Subcontinental",IF(H51&gt;20,"Oceánico")))))</f>
        <v>Hiperoceánico</v>
      </c>
      <c r="G51" s="383"/>
      <c r="H51" s="385">
        <f>1.7*(F48/SIN(J2*PI()/180))-20.4</f>
        <v>-3.8023865056871493</v>
      </c>
      <c r="I51" s="380"/>
      <c r="J51" s="386"/>
      <c r="K51" s="383"/>
      <c r="L51" s="383"/>
      <c r="M51" s="383"/>
      <c r="N51" s="387"/>
    </row>
    <row r="53" spans="1:14" s="71" customFormat="1" ht="17.25" customHeight="1" thickBot="1">
      <c r="A53" s="117"/>
      <c r="C53" s="117"/>
      <c r="D53" s="117"/>
      <c r="E53" s="128"/>
      <c r="F53" s="118"/>
      <c r="G53" s="117"/>
      <c r="H53" s="94"/>
      <c r="I53" s="94"/>
      <c r="J53" s="94"/>
      <c r="K53" s="94"/>
      <c r="L53" s="94"/>
      <c r="M53" s="94"/>
      <c r="N53" s="129"/>
    </row>
    <row r="54" spans="1:14" ht="17.25" customHeight="1">
      <c r="A54" s="107" t="s">
        <v>99</v>
      </c>
      <c r="B54" s="108"/>
      <c r="C54" s="108"/>
      <c r="D54" s="108"/>
      <c r="E54" s="109"/>
      <c r="F54" s="109"/>
      <c r="G54" s="108"/>
      <c r="H54" s="110"/>
      <c r="I54" s="110"/>
      <c r="J54" s="110"/>
      <c r="K54" s="110"/>
      <c r="L54" s="110"/>
      <c r="M54" s="111"/>
      <c r="N54" s="112"/>
    </row>
    <row r="55" spans="1:14" ht="17.25" customHeight="1">
      <c r="A55" s="350" t="s">
        <v>128</v>
      </c>
      <c r="B55" s="351"/>
      <c r="C55" s="334"/>
      <c r="D55" s="334"/>
      <c r="E55" s="351"/>
      <c r="F55" s="354"/>
      <c r="G55" s="337">
        <f>Climograma!B88</f>
        <v>372.49999999999994</v>
      </c>
      <c r="H55" s="95"/>
      <c r="I55" s="95"/>
      <c r="J55" s="95"/>
      <c r="K55" s="95"/>
      <c r="L55" s="95"/>
      <c r="M55" s="96"/>
      <c r="N55" s="113"/>
    </row>
    <row r="56" spans="1:14" ht="17.25" customHeight="1">
      <c r="A56" s="350" t="s">
        <v>129</v>
      </c>
      <c r="B56" s="351"/>
      <c r="C56" s="334"/>
      <c r="D56" s="334"/>
      <c r="E56" s="351"/>
      <c r="F56" s="354"/>
      <c r="G56" s="337" t="str">
        <f>Climograma!G92</f>
        <v>Muy lluvioso</v>
      </c>
      <c r="H56" s="95"/>
      <c r="I56" s="95"/>
      <c r="J56" s="95"/>
      <c r="K56" s="95"/>
      <c r="L56" s="95"/>
      <c r="M56" s="96"/>
      <c r="N56" s="113"/>
    </row>
    <row r="57" spans="1:14" ht="17.25" customHeight="1">
      <c r="A57" s="334" t="s">
        <v>130</v>
      </c>
      <c r="B57" s="351"/>
      <c r="C57" s="334"/>
      <c r="D57" s="334"/>
      <c r="E57" s="351"/>
      <c r="F57" s="354"/>
      <c r="G57" s="337" t="str">
        <f>Climograma!C122</f>
        <v>Jan Feb Mar Apr      Oct Nov Dec</v>
      </c>
      <c r="H57" s="95"/>
      <c r="I57" s="95"/>
      <c r="J57" s="95"/>
      <c r="K57" s="95"/>
      <c r="L57" s="95"/>
      <c r="M57" s="96"/>
      <c r="N57" s="113"/>
    </row>
    <row r="58" spans="1:14" ht="17.25" customHeight="1">
      <c r="A58" s="334" t="s">
        <v>249</v>
      </c>
      <c r="B58" s="351"/>
      <c r="C58" s="334"/>
      <c r="D58" s="334"/>
      <c r="E58" s="351"/>
      <c r="F58" s="354"/>
      <c r="G58" s="338">
        <f>SUM(B43:M43)</f>
        <v>29.900000000000002</v>
      </c>
      <c r="H58" s="95"/>
      <c r="I58" s="95"/>
      <c r="J58" s="95"/>
      <c r="K58" s="95"/>
      <c r="L58" s="95"/>
      <c r="M58" s="96"/>
      <c r="N58" s="113"/>
    </row>
    <row r="59" spans="1:14" ht="17.25" customHeight="1">
      <c r="A59" s="334" t="s">
        <v>246</v>
      </c>
      <c r="B59" s="351"/>
      <c r="C59" s="334"/>
      <c r="D59" s="334"/>
      <c r="E59" s="351"/>
      <c r="F59" s="354"/>
      <c r="G59" s="337">
        <f>G55/G58</f>
        <v>12.458193979933107</v>
      </c>
      <c r="H59" s="95"/>
      <c r="I59" s="95"/>
      <c r="J59" s="95"/>
      <c r="K59" s="95"/>
      <c r="L59" s="95"/>
      <c r="M59" s="96"/>
      <c r="N59" s="113"/>
    </row>
    <row r="60" spans="1:14" ht="17.25" customHeight="1">
      <c r="A60" s="351" t="s">
        <v>245</v>
      </c>
      <c r="B60" s="351"/>
      <c r="C60" s="351"/>
      <c r="D60" s="351"/>
      <c r="E60" s="351"/>
      <c r="F60" s="354"/>
      <c r="G60" s="338">
        <f>(MAX(B42:M42))^2/G55</f>
        <v>33.195812080536918</v>
      </c>
      <c r="H60" s="355" t="str">
        <f>IF(G60&lt;60,"Muy Bajo",IF(G60&gt;60,"Bajo",IF(G60&gt;90,"Moderado",IF(G60&gt;120,"Alto",IF(G60&gt;160,"Muy Alto")))))</f>
        <v>Muy Bajo</v>
      </c>
      <c r="I60" s="95"/>
      <c r="J60" s="95"/>
      <c r="K60" s="95"/>
      <c r="L60" s="95"/>
      <c r="M60" s="96"/>
      <c r="N60" s="113"/>
    </row>
    <row r="61" spans="1:14" ht="17.25" customHeight="1" thickBot="1">
      <c r="A61" s="391" t="s">
        <v>250</v>
      </c>
      <c r="B61" s="391"/>
      <c r="C61" s="391"/>
      <c r="D61" s="391"/>
      <c r="E61" s="391"/>
      <c r="F61" s="114"/>
      <c r="G61" s="392">
        <f>MAX(B44:M44)^2/SUM(B44:M44)</f>
        <v>7.2152804642166339</v>
      </c>
      <c r="H61" s="115"/>
      <c r="I61" s="115"/>
      <c r="J61" s="114"/>
      <c r="K61" s="114"/>
      <c r="L61" s="114"/>
      <c r="M61" s="114"/>
      <c r="N61" s="116"/>
    </row>
    <row r="62" spans="1:14" ht="17.25" customHeight="1">
      <c r="A62" s="10"/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6"/>
    </row>
    <row r="63" spans="1:14" ht="17.25" customHeight="1"/>
    <row r="64" spans="1:14" ht="17.25" customHeight="1">
      <c r="A64" s="333" t="s">
        <v>127</v>
      </c>
      <c r="B64" s="119"/>
      <c r="C64" s="119"/>
      <c r="D64" s="119"/>
      <c r="E64" s="119"/>
      <c r="F64" s="119"/>
      <c r="G64" s="119"/>
      <c r="H64" s="119"/>
      <c r="I64" s="97"/>
      <c r="J64" s="97"/>
      <c r="K64" s="97"/>
      <c r="L64" s="97"/>
      <c r="M64" s="97"/>
      <c r="N64" s="98"/>
    </row>
    <row r="65" spans="1:14" ht="17.25" customHeight="1">
      <c r="A65" s="120"/>
      <c r="B65" s="121" t="s">
        <v>21</v>
      </c>
      <c r="C65" s="121"/>
      <c r="D65" s="121"/>
      <c r="E65" s="122">
        <f>G55/(F47+10)</f>
        <v>15.173116089613034</v>
      </c>
      <c r="F65" s="122"/>
      <c r="G65" s="123" t="str">
        <f>IF(E65&lt;20,"Arid climate","")</f>
        <v>Arid climate</v>
      </c>
      <c r="H65" s="122"/>
      <c r="I65" s="99"/>
      <c r="J65" s="99"/>
      <c r="K65" s="99"/>
      <c r="L65" s="99"/>
      <c r="M65" s="99"/>
      <c r="N65" s="100"/>
    </row>
    <row r="66" spans="1:14" ht="17.25" customHeight="1" thickBot="1">
      <c r="A66" s="124"/>
      <c r="B66" s="125" t="s">
        <v>22</v>
      </c>
      <c r="C66" s="125"/>
      <c r="D66" s="125"/>
      <c r="E66" s="126">
        <f>F47*100/G55</f>
        <v>3.9060402684563766</v>
      </c>
      <c r="F66" s="126"/>
      <c r="G66" s="126" t="str">
        <f>IF($E$66&gt;6,"Área desértica",IF($E$66&gt;3,"Área subdesértica",IF($E$66&gt;2,"Área semiárida","Área húmeda")))</f>
        <v>Área subdesértica</v>
      </c>
      <c r="H66" s="126"/>
      <c r="I66" s="101"/>
      <c r="J66" s="101"/>
      <c r="K66" s="101"/>
      <c r="L66" s="101"/>
      <c r="M66" s="101"/>
      <c r="N66" s="127"/>
    </row>
    <row r="73" spans="1:14" hidden="1">
      <c r="A73" s="308" t="s">
        <v>50</v>
      </c>
      <c r="B73" s="309"/>
      <c r="C73" s="309"/>
      <c r="D73" s="309"/>
      <c r="E73" s="309"/>
      <c r="F73" s="309"/>
      <c r="G73" s="309"/>
      <c r="H73" s="309"/>
      <c r="I73" s="310"/>
    </row>
    <row r="74" spans="1:14" hidden="1">
      <c r="A74" s="311" t="s">
        <v>51</v>
      </c>
      <c r="B74" s="312"/>
      <c r="C74" s="312"/>
      <c r="D74" s="312"/>
      <c r="E74" s="312" t="s">
        <v>52</v>
      </c>
      <c r="F74" s="312"/>
      <c r="G74" s="312"/>
      <c r="H74" s="312"/>
      <c r="I74" s="313"/>
    </row>
    <row r="75" spans="1:14" hidden="1">
      <c r="A75" s="311"/>
      <c r="B75" s="314" t="s">
        <v>19</v>
      </c>
      <c r="C75" s="314" t="s">
        <v>20</v>
      </c>
      <c r="D75" s="312"/>
      <c r="E75" s="312"/>
      <c r="F75" s="314" t="s">
        <v>19</v>
      </c>
      <c r="G75" s="314" t="s">
        <v>20</v>
      </c>
      <c r="H75" s="312"/>
      <c r="I75" s="313"/>
    </row>
    <row r="76" spans="1:14" hidden="1">
      <c r="A76" s="315" t="s">
        <v>7</v>
      </c>
      <c r="B76" s="312">
        <f>Climograma!B41</f>
        <v>17.3</v>
      </c>
      <c r="C76" s="312">
        <f>Climograma!B42</f>
        <v>0.4</v>
      </c>
      <c r="D76" s="312"/>
      <c r="E76" s="316" t="s">
        <v>10</v>
      </c>
      <c r="F76" s="312">
        <f>Climograma!E41</f>
        <v>14.9</v>
      </c>
      <c r="G76" s="312">
        <f>Climograma!E42</f>
        <v>13.3</v>
      </c>
      <c r="H76" s="312"/>
      <c r="I76" s="313"/>
    </row>
    <row r="77" spans="1:14" hidden="1">
      <c r="A77" s="311" t="s">
        <v>8</v>
      </c>
      <c r="B77" s="312">
        <f>Climograma!C41</f>
        <v>17.399999999999999</v>
      </c>
      <c r="C77" s="312">
        <f>Climograma!C42</f>
        <v>0</v>
      </c>
      <c r="D77" s="312"/>
      <c r="E77" s="312" t="s">
        <v>11</v>
      </c>
      <c r="F77" s="312">
        <f>Climograma!F41</f>
        <v>13.7</v>
      </c>
      <c r="G77" s="312">
        <f>Climograma!F42</f>
        <v>54.5</v>
      </c>
      <c r="H77" s="312"/>
      <c r="I77" s="313"/>
    </row>
    <row r="78" spans="1:14" hidden="1">
      <c r="A78" s="311" t="s">
        <v>9</v>
      </c>
      <c r="B78" s="312">
        <f>Climograma!D41</f>
        <v>16.5</v>
      </c>
      <c r="C78" s="312">
        <f>Climograma!D42</f>
        <v>3.7</v>
      </c>
      <c r="D78" s="312"/>
      <c r="E78" s="312" t="s">
        <v>12</v>
      </c>
      <c r="F78" s="312">
        <f>Climograma!G41</f>
        <v>12.5</v>
      </c>
      <c r="G78" s="312">
        <f>Climograma!G42</f>
        <v>83.1</v>
      </c>
      <c r="H78" s="312"/>
      <c r="I78" s="313"/>
    </row>
    <row r="79" spans="1:14" hidden="1">
      <c r="A79" s="311" t="s">
        <v>16</v>
      </c>
      <c r="B79" s="312">
        <f>Climograma!K41</f>
        <v>13.9</v>
      </c>
      <c r="C79" s="312">
        <f>Climograma!K42</f>
        <v>10.4</v>
      </c>
      <c r="D79" s="312"/>
      <c r="E79" s="312" t="s">
        <v>13</v>
      </c>
      <c r="F79" s="312">
        <f>Climograma!H41</f>
        <v>11.8</v>
      </c>
      <c r="G79" s="312">
        <f>Climograma!H42</f>
        <v>111.2</v>
      </c>
      <c r="H79" s="312"/>
      <c r="I79" s="313"/>
    </row>
    <row r="80" spans="1:14" hidden="1">
      <c r="A80" s="311" t="s">
        <v>17</v>
      </c>
      <c r="B80" s="312">
        <f>Climograma!L41</f>
        <v>15</v>
      </c>
      <c r="C80" s="312">
        <f>Climograma!L42</f>
        <v>7.9</v>
      </c>
      <c r="D80" s="312"/>
      <c r="E80" s="316" t="s">
        <v>14</v>
      </c>
      <c r="F80" s="312">
        <f>Climograma!I41</f>
        <v>12.4</v>
      </c>
      <c r="G80" s="312">
        <f>Climograma!I42</f>
        <v>60</v>
      </c>
      <c r="H80" s="312"/>
      <c r="I80" s="313"/>
    </row>
    <row r="81" spans="1:9" hidden="1">
      <c r="A81" s="315" t="s">
        <v>18</v>
      </c>
      <c r="B81" s="312">
        <f>Climograma!M41</f>
        <v>16.2</v>
      </c>
      <c r="C81" s="312">
        <f>Climograma!M42</f>
        <v>1.3</v>
      </c>
      <c r="D81" s="312"/>
      <c r="E81" s="312" t="s">
        <v>15</v>
      </c>
      <c r="F81" s="312">
        <f>Climograma!J41</f>
        <v>13</v>
      </c>
      <c r="G81" s="312">
        <f>Climograma!J42</f>
        <v>26.7</v>
      </c>
      <c r="H81" s="312"/>
      <c r="I81" s="313"/>
    </row>
    <row r="82" spans="1:9" hidden="1">
      <c r="A82" s="311" t="s">
        <v>53</v>
      </c>
      <c r="B82" s="312">
        <f>MIN(B76:B81)</f>
        <v>13.9</v>
      </c>
      <c r="C82" s="312">
        <f>MIN(C76:C81)</f>
        <v>0</v>
      </c>
      <c r="D82" s="312"/>
      <c r="E82" s="312"/>
      <c r="F82" s="312">
        <f>MIN(F76:F81)</f>
        <v>11.8</v>
      </c>
      <c r="G82" s="312">
        <f>MIN(G76:G81)</f>
        <v>13.3</v>
      </c>
      <c r="H82" s="312"/>
      <c r="I82" s="313"/>
    </row>
    <row r="83" spans="1:9" hidden="1">
      <c r="A83" s="311" t="s">
        <v>54</v>
      </c>
      <c r="B83" s="312">
        <f>MAX(B76:B81)</f>
        <v>17.399999999999999</v>
      </c>
      <c r="C83" s="312">
        <f>MAX(C76:C81)</f>
        <v>10.4</v>
      </c>
      <c r="D83" s="312"/>
      <c r="E83" s="312"/>
      <c r="F83" s="312">
        <f>MAX(F76:F81)</f>
        <v>14.9</v>
      </c>
      <c r="G83" s="312">
        <f>MAX(G76:G81)</f>
        <v>111.2</v>
      </c>
      <c r="H83" s="312"/>
      <c r="I83" s="313"/>
    </row>
    <row r="84" spans="1:9" hidden="1">
      <c r="A84" s="311"/>
      <c r="B84" s="312"/>
      <c r="C84" s="312"/>
      <c r="D84" s="312"/>
      <c r="E84" s="312"/>
      <c r="F84" s="312"/>
      <c r="G84" s="312"/>
      <c r="H84" s="312"/>
      <c r="I84" s="313"/>
    </row>
    <row r="85" spans="1:9" hidden="1">
      <c r="A85" s="311" t="s">
        <v>55</v>
      </c>
      <c r="B85" s="312">
        <f>IF(Climograma!N2="S",F82,B82)</f>
        <v>11.8</v>
      </c>
      <c r="C85" s="312">
        <f>IF(Climograma!N2="S",G82,C82)</f>
        <v>13.3</v>
      </c>
      <c r="D85" s="312"/>
      <c r="E85" s="312" t="s">
        <v>56</v>
      </c>
      <c r="F85" s="312">
        <f>IF(Climograma!N2="S",B82,F82)</f>
        <v>13.9</v>
      </c>
      <c r="G85" s="312">
        <f>IF(Climograma!N2="S",C82,G82)</f>
        <v>0</v>
      </c>
      <c r="H85" s="312"/>
      <c r="I85" s="313"/>
    </row>
    <row r="86" spans="1:9" hidden="1">
      <c r="A86" s="311" t="s">
        <v>57</v>
      </c>
      <c r="B86" s="312">
        <f>IF(Climograma!N2="S",F83,B83)</f>
        <v>14.9</v>
      </c>
      <c r="C86" s="312">
        <f>IF(Climograma!N2="S",G83,C83)</f>
        <v>111.2</v>
      </c>
      <c r="D86" s="312"/>
      <c r="E86" s="312" t="s">
        <v>58</v>
      </c>
      <c r="F86" s="312">
        <f>IF(Climograma!N2="S",B83,F83)</f>
        <v>17.399999999999999</v>
      </c>
      <c r="G86" s="312">
        <f>IF(Climograma!N2="S",C83,G83)</f>
        <v>10.4</v>
      </c>
      <c r="H86" s="312"/>
      <c r="I86" s="313"/>
    </row>
    <row r="87" spans="1:9" hidden="1">
      <c r="A87" s="311" t="s">
        <v>59</v>
      </c>
      <c r="B87" s="312">
        <f>MAX(Climograma!B41:M41)</f>
        <v>17.399999999999999</v>
      </c>
      <c r="C87" s="312" t="s">
        <v>60</v>
      </c>
      <c r="D87" s="312">
        <f>MIN(Climograma!B41:M41)</f>
        <v>11.8</v>
      </c>
      <c r="E87" s="312" t="s">
        <v>61</v>
      </c>
      <c r="F87" s="312">
        <f>AVERAGE(Climograma!B41:M41)</f>
        <v>14.549999999999999</v>
      </c>
      <c r="G87" s="312" t="s">
        <v>62</v>
      </c>
      <c r="H87" s="312">
        <f>B87-D87</f>
        <v>5.5999999999999979</v>
      </c>
      <c r="I87" s="313"/>
    </row>
    <row r="88" spans="1:9" hidden="1">
      <c r="A88" s="311" t="s">
        <v>63</v>
      </c>
      <c r="B88" s="312">
        <f>SUM(Climograma!B42:M42)</f>
        <v>372.49999999999994</v>
      </c>
      <c r="C88" s="312" t="s">
        <v>64</v>
      </c>
      <c r="D88" s="312">
        <f>AVERAGE(Climograma!B42:M42)</f>
        <v>31.041666666666661</v>
      </c>
      <c r="E88" s="312"/>
      <c r="F88" s="312"/>
      <c r="G88" s="312"/>
      <c r="H88" s="312"/>
      <c r="I88" s="313"/>
    </row>
    <row r="89" spans="1:9" hidden="1">
      <c r="A89" s="311"/>
      <c r="B89" s="312"/>
      <c r="C89" s="312"/>
      <c r="D89" s="312"/>
      <c r="E89" s="312"/>
      <c r="F89" s="312"/>
      <c r="G89" s="312"/>
      <c r="H89" s="312"/>
      <c r="I89" s="313"/>
    </row>
    <row r="90" spans="1:9" hidden="1">
      <c r="A90" s="311" t="s">
        <v>65</v>
      </c>
      <c r="B90" s="312"/>
      <c r="C90" s="312"/>
      <c r="D90" s="312"/>
      <c r="E90" s="312" t="s">
        <v>66</v>
      </c>
      <c r="F90" s="312"/>
      <c r="G90" s="312"/>
      <c r="H90" s="312"/>
      <c r="I90" s="313"/>
    </row>
    <row r="91" spans="1:9" hidden="1">
      <c r="A91" s="311" t="s">
        <v>67</v>
      </c>
      <c r="B91" s="312"/>
      <c r="C91" s="317" t="str">
        <f>IF($G$85&lt;($C$86/3),"s",IF($G$86&gt;10*$C$85,IF($G$86&gt;(10-(D88/25)),"m",0),"f"))</f>
        <v>s</v>
      </c>
      <c r="D91" s="312"/>
      <c r="E91" s="312" t="s">
        <v>67</v>
      </c>
      <c r="F91" s="312"/>
      <c r="G91" s="312" t="s">
        <v>68</v>
      </c>
      <c r="H91" s="312">
        <f>G78+G79+G80</f>
        <v>254.3</v>
      </c>
      <c r="I91" s="313"/>
    </row>
    <row r="92" spans="1:9" hidden="1">
      <c r="A92" s="311"/>
      <c r="B92" s="312"/>
      <c r="C92" s="317" t="str">
        <f>IF($C$91="w",IF((B88/10)&lt;=F87,"BW",IF((B88/10)&lt;=2*(F87),"BS","")),"")</f>
        <v/>
      </c>
      <c r="D92" s="312"/>
      <c r="E92" s="312"/>
      <c r="F92" s="312"/>
      <c r="G92" s="312" t="str">
        <f>IF($H$91&lt;45,"Muy seco",IF($H$91&lt;90,"Seco",IF($H$91&lt;120,"Algo lluvioso",IF($H$91&lt;180,"Lluvioso","Muy lluvioso"))))</f>
        <v>Muy lluvioso</v>
      </c>
      <c r="H92" s="312"/>
      <c r="I92" s="313"/>
    </row>
    <row r="93" spans="1:9" hidden="1">
      <c r="A93" s="311"/>
      <c r="B93" s="312"/>
      <c r="C93" s="317" t="str">
        <f>IF($C$91="f",IF((B88/10)&lt;=F87+7,"BW",IF((B88/10)&lt;=2*(F87+7),"BS","")),"")</f>
        <v/>
      </c>
      <c r="D93" s="312"/>
      <c r="E93" s="312"/>
      <c r="F93" s="312"/>
      <c r="G93" s="312"/>
      <c r="H93" s="312"/>
      <c r="I93" s="313"/>
    </row>
    <row r="94" spans="1:9" hidden="1">
      <c r="A94" s="311"/>
      <c r="B94" s="312"/>
      <c r="C94" s="317" t="str">
        <f>IF($C$91="s",IF((B88/10)&lt;=F87+14,"BW",IF((B88/10)&lt;=2*(F87+14),"BS","")),"")</f>
        <v>BS</v>
      </c>
      <c r="D94" s="312"/>
      <c r="E94" s="318" t="s">
        <v>69</v>
      </c>
      <c r="F94" s="312">
        <f>Climograma!J2+Climograma!L2/60</f>
        <v>35.5</v>
      </c>
      <c r="G94" s="312"/>
      <c r="H94" s="312"/>
      <c r="I94" s="313"/>
    </row>
    <row r="95" spans="1:9" hidden="1">
      <c r="A95" s="311" t="s">
        <v>70</v>
      </c>
      <c r="B95" s="312" t="e">
        <f>IF($C$91="s",IF(#REF!&lt;=2*#REF!,"BS",IF(#REF!&lt;=#REF!,"BW","")),"")</f>
        <v>#REF!</v>
      </c>
      <c r="C95" s="70" t="str">
        <f>IF(C92&lt;&gt;"",C92,IF(C93&lt;&gt;"",C93,IF(C94&lt;&gt;"",C94,"")))</f>
        <v>BS</v>
      </c>
      <c r="D95" s="312"/>
      <c r="E95" s="94"/>
      <c r="F95" s="94"/>
      <c r="G95" s="312"/>
      <c r="H95" s="312"/>
      <c r="I95" s="313"/>
    </row>
    <row r="96" spans="1:9" hidden="1">
      <c r="A96" s="311" t="s">
        <v>71</v>
      </c>
      <c r="B96" s="312"/>
      <c r="C96" s="317" t="str">
        <f>IF(D87&gt;18,"A",IF(D87&gt;-3,"C",IF(D87&gt;-3,"C",IF(B87&gt;10,"D",IF(B87&gt;0,"ET","EF")))))</f>
        <v>C</v>
      </c>
      <c r="D96" s="312"/>
      <c r="E96" s="94" t="s">
        <v>72</v>
      </c>
      <c r="F96" s="312">
        <f>SIN(RADIANS((F94)))</f>
        <v>0.58070295571093977</v>
      </c>
      <c r="G96" s="312"/>
      <c r="H96" s="312"/>
      <c r="I96" s="313"/>
    </row>
    <row r="97" spans="1:9" hidden="1">
      <c r="A97" s="311" t="s">
        <v>73</v>
      </c>
      <c r="B97" s="312"/>
      <c r="C97" s="317" t="str">
        <f>IF($C$98="",IF($C$99="","",$C$99),$C$98)</f>
        <v>l</v>
      </c>
      <c r="D97" s="312"/>
      <c r="E97" s="94"/>
      <c r="F97" s="312"/>
      <c r="G97" s="312"/>
      <c r="H97" s="312"/>
      <c r="I97" s="313"/>
    </row>
    <row r="98" spans="1:9" hidden="1">
      <c r="A98" s="311"/>
      <c r="B98" s="312"/>
      <c r="C98" s="317" t="str">
        <f>IF(D87&gt;10,IF(B87&lt;22,"l",""),"")</f>
        <v>l</v>
      </c>
      <c r="D98" s="312"/>
      <c r="E98" s="312" t="s">
        <v>74</v>
      </c>
      <c r="F98" s="312">
        <f>1.7*(H87/F96)-20.4</f>
        <v>-4.0060762109521129</v>
      </c>
      <c r="G98" s="312"/>
      <c r="H98" s="312"/>
      <c r="I98" s="313"/>
    </row>
    <row r="99" spans="1:9" hidden="1">
      <c r="A99" s="311"/>
      <c r="B99" s="312"/>
      <c r="C99" s="317" t="str">
        <f>IF(B87-D87&lt;=5,"i","")</f>
        <v/>
      </c>
      <c r="D99" s="312"/>
      <c r="E99" s="312"/>
      <c r="F99" s="312"/>
      <c r="G99" s="312"/>
      <c r="H99" s="312"/>
      <c r="I99" s="313"/>
    </row>
    <row r="100" spans="1:9" hidden="1">
      <c r="A100" s="311" t="s">
        <v>75</v>
      </c>
      <c r="B100" s="312"/>
      <c r="C100" s="317" t="str">
        <f>IF(B87&gt;22,"a",IF(D87&lt;-38,"d",IF(SMALL(Climograma!B41:M41,5)&gt;10,"b","c")))</f>
        <v>b</v>
      </c>
      <c r="D100" s="312"/>
      <c r="E100" s="312" t="s">
        <v>76</v>
      </c>
      <c r="F100" s="312"/>
      <c r="G100" s="312" t="str">
        <f>IF(H91&lt;120,"Zona Parda","Zona Verde")</f>
        <v>Zona Verde</v>
      </c>
      <c r="H100" s="312"/>
      <c r="I100" s="313"/>
    </row>
    <row r="101" spans="1:9" hidden="1">
      <c r="A101" s="311"/>
      <c r="B101" s="312"/>
      <c r="C101" s="317" t="str">
        <f>IF($C$96="D",$C$100,IF($C$96="C",$C$100,""))</f>
        <v>b</v>
      </c>
      <c r="D101" s="312"/>
      <c r="E101" s="312"/>
      <c r="F101" s="312" t="str">
        <f>IF(F109&lt;&gt;"",F109,F103)</f>
        <v>Atlántica marítima</v>
      </c>
      <c r="G101" s="312"/>
      <c r="H101" s="312"/>
      <c r="I101" s="313"/>
    </row>
    <row r="102" spans="1:9" hidden="1">
      <c r="A102" s="311" t="s">
        <v>77</v>
      </c>
      <c r="B102" s="312"/>
      <c r="C102" s="317" t="str">
        <f>IF($C$95&lt;&gt;"",IF(F87&gt;18,"h",IF(B87&gt;18,"k","k'")),"")</f>
        <v>k'</v>
      </c>
      <c r="D102" s="312"/>
      <c r="E102" s="312"/>
      <c r="F102" s="312"/>
      <c r="G102" s="312"/>
      <c r="H102" s="312"/>
      <c r="I102" s="313"/>
    </row>
    <row r="103" spans="1:9" hidden="1">
      <c r="A103" s="311"/>
      <c r="B103" s="312"/>
      <c r="C103" s="317" t="str">
        <f>IF(C95&lt;&gt;"",C95,C96)</f>
        <v>BS</v>
      </c>
      <c r="D103" s="312"/>
      <c r="E103" s="312" t="s">
        <v>78</v>
      </c>
      <c r="F103" s="312" t="str">
        <f>IF($F$98&gt;30,"Continental extremada",IF($F$98&gt;20,"Continental atenuada",IF($F$98&gt;10,"Atlántica submarítima","Atlántica marítima")))</f>
        <v>Atlántica marítima</v>
      </c>
      <c r="G103" s="312"/>
      <c r="H103" s="312"/>
      <c r="I103" s="313"/>
    </row>
    <row r="104" spans="1:9" hidden="1">
      <c r="A104" s="311"/>
      <c r="B104" s="312"/>
      <c r="C104" s="317" t="str">
        <f>CONCATENATE($C$91,$C$97)</f>
        <v>sl</v>
      </c>
      <c r="D104" s="312"/>
      <c r="E104" s="312" t="s">
        <v>79</v>
      </c>
      <c r="F104" s="312"/>
      <c r="G104" s="312"/>
      <c r="H104" s="312"/>
      <c r="I104" s="313"/>
    </row>
    <row r="105" spans="1:9" hidden="1">
      <c r="A105" s="311"/>
      <c r="B105" s="312"/>
      <c r="C105" s="317" t="str">
        <f>IF(C95&lt;&gt;"",C102,C101)</f>
        <v>k'</v>
      </c>
      <c r="D105" s="312"/>
      <c r="E105" s="312" t="s">
        <v>80</v>
      </c>
      <c r="F105" s="312">
        <f>C78+G76+G77</f>
        <v>71.5</v>
      </c>
      <c r="G105" s="312"/>
      <c r="H105" s="312"/>
      <c r="I105" s="313"/>
    </row>
    <row r="106" spans="1:9" hidden="1">
      <c r="A106" s="311" t="s">
        <v>81</v>
      </c>
      <c r="B106" s="312"/>
      <c r="C106" s="317" t="str">
        <f>CONCATENATE(C103,C104,C105)</f>
        <v>BSslk'</v>
      </c>
      <c r="D106" s="312"/>
      <c r="E106" s="312" t="s">
        <v>52</v>
      </c>
      <c r="F106" s="312">
        <f>G78+G79+G80</f>
        <v>254.3</v>
      </c>
      <c r="G106" s="312"/>
      <c r="H106" s="312"/>
      <c r="I106" s="313"/>
    </row>
    <row r="107" spans="1:9" hidden="1">
      <c r="A107" s="311" t="s">
        <v>82</v>
      </c>
      <c r="B107" s="312"/>
      <c r="C107" s="317" t="str">
        <f>IF($F$86&gt;=22,"Cálido",IF($F$86&gt;=29,"Tórrido","Fresco"))</f>
        <v>Fresco</v>
      </c>
      <c r="D107" s="312"/>
      <c r="E107" s="312" t="s">
        <v>83</v>
      </c>
      <c r="F107" s="312">
        <f>G81+C79+C80</f>
        <v>45</v>
      </c>
      <c r="G107" s="312"/>
      <c r="H107" s="312"/>
      <c r="I107" s="313"/>
    </row>
    <row r="108" spans="1:9" hidden="1">
      <c r="A108" s="311" t="s">
        <v>84</v>
      </c>
      <c r="B108" s="312"/>
      <c r="C108" s="317" t="str">
        <f>IF($B$85&gt;=10,"Templado",IF($B$85&gt;=6,"Fresco","Frio"))</f>
        <v>Templado</v>
      </c>
      <c r="D108" s="312"/>
      <c r="E108" s="312" t="s">
        <v>51</v>
      </c>
      <c r="F108" s="312">
        <f>C81+C76+C77</f>
        <v>1.7000000000000002</v>
      </c>
      <c r="G108" s="312"/>
      <c r="H108" s="312"/>
      <c r="I108" s="313"/>
    </row>
    <row r="109" spans="1:9" hidden="1">
      <c r="A109" s="311"/>
      <c r="B109" s="312"/>
      <c r="C109" s="312"/>
      <c r="D109" s="312"/>
      <c r="E109" s="312" t="s">
        <v>85</v>
      </c>
      <c r="F109" s="317" t="str">
        <f>IF(MAX(F105:F108)=F107,"mediterráneo","")</f>
        <v/>
      </c>
      <c r="G109" s="312"/>
      <c r="H109" s="312"/>
      <c r="I109" s="313"/>
    </row>
    <row r="110" spans="1:9" hidden="1">
      <c r="A110" s="311" t="s">
        <v>86</v>
      </c>
      <c r="B110" s="312">
        <v>1</v>
      </c>
      <c r="C110" s="312" t="str">
        <f>IF(B76*2&gt;C76,A76,"")</f>
        <v>Jan</v>
      </c>
      <c r="D110" s="312" t="s">
        <v>87</v>
      </c>
      <c r="E110" s="312"/>
      <c r="F110" s="312"/>
      <c r="G110" s="312"/>
      <c r="H110" s="312"/>
      <c r="I110" s="313"/>
    </row>
    <row r="111" spans="1:9" hidden="1">
      <c r="A111" s="311"/>
      <c r="B111" s="312">
        <v>2</v>
      </c>
      <c r="C111" s="312" t="str">
        <f>IF(B77*2&gt;C77,A77,"")</f>
        <v>Feb</v>
      </c>
      <c r="D111" s="312"/>
      <c r="E111" s="312"/>
      <c r="F111" s="312" t="str">
        <f>IF(F98&gt;20,"Pirenaica",IF(F98&gt;10,"Submarítima","Marítima"))</f>
        <v>Marítima</v>
      </c>
      <c r="G111" s="312"/>
      <c r="H111" s="312"/>
      <c r="I111" s="313"/>
    </row>
    <row r="112" spans="1:9" hidden="1">
      <c r="A112" s="311"/>
      <c r="B112" s="312">
        <v>3</v>
      </c>
      <c r="C112" s="312" t="str">
        <f>IF(B78*2&gt;C78,A78,"")</f>
        <v>Mar</v>
      </c>
      <c r="D112" s="312"/>
      <c r="E112" s="312" t="s">
        <v>88</v>
      </c>
      <c r="F112" s="312"/>
      <c r="G112" s="312" t="str">
        <f>IF(H91&lt;120,F101,F111)</f>
        <v>Marítima</v>
      </c>
      <c r="H112" s="312"/>
      <c r="I112" s="313"/>
    </row>
    <row r="113" spans="1:9" hidden="1">
      <c r="A113" s="311"/>
      <c r="B113" s="312">
        <v>4</v>
      </c>
      <c r="C113" s="312" t="str">
        <f t="shared" ref="C113:C118" si="0">IF(F76*2&gt;G76,E76,"")</f>
        <v>Apr</v>
      </c>
      <c r="D113" s="312"/>
      <c r="E113" s="312"/>
      <c r="F113" s="312"/>
      <c r="G113" s="312"/>
      <c r="H113" s="312"/>
      <c r="I113" s="313"/>
    </row>
    <row r="114" spans="1:9" hidden="1">
      <c r="A114" s="311"/>
      <c r="B114" s="312">
        <v>5</v>
      </c>
      <c r="C114" s="312" t="str">
        <f t="shared" si="0"/>
        <v/>
      </c>
      <c r="D114" s="312"/>
      <c r="E114" s="312"/>
      <c r="F114" s="312"/>
      <c r="G114" s="312"/>
      <c r="H114" s="312"/>
      <c r="I114" s="313"/>
    </row>
    <row r="115" spans="1:9" hidden="1">
      <c r="A115" s="311"/>
      <c r="B115" s="312">
        <v>6</v>
      </c>
      <c r="C115" s="312" t="str">
        <f t="shared" si="0"/>
        <v/>
      </c>
      <c r="D115" s="312"/>
      <c r="E115" s="312"/>
      <c r="F115" s="312"/>
      <c r="G115" s="312"/>
      <c r="H115" s="312"/>
      <c r="I115" s="313"/>
    </row>
    <row r="116" spans="1:9" hidden="1">
      <c r="A116" s="311"/>
      <c r="B116" s="312">
        <v>7</v>
      </c>
      <c r="C116" s="312" t="str">
        <f t="shared" si="0"/>
        <v/>
      </c>
      <c r="D116" s="312"/>
      <c r="E116" s="312"/>
      <c r="F116" s="312"/>
      <c r="G116" s="312"/>
      <c r="H116" s="312"/>
      <c r="I116" s="313"/>
    </row>
    <row r="117" spans="1:9" hidden="1">
      <c r="A117" s="311"/>
      <c r="B117" s="312">
        <v>8</v>
      </c>
      <c r="C117" s="312" t="str">
        <f t="shared" si="0"/>
        <v/>
      </c>
      <c r="D117" s="312"/>
      <c r="E117" s="312"/>
      <c r="F117" s="312"/>
      <c r="G117" s="312"/>
      <c r="H117" s="312"/>
      <c r="I117" s="313"/>
    </row>
    <row r="118" spans="1:9" hidden="1">
      <c r="A118" s="311"/>
      <c r="B118" s="312">
        <v>9</v>
      </c>
      <c r="C118" s="312" t="str">
        <f t="shared" si="0"/>
        <v/>
      </c>
      <c r="D118" s="312"/>
      <c r="E118" s="312"/>
      <c r="F118" s="312"/>
      <c r="G118" s="312"/>
      <c r="H118" s="312"/>
      <c r="I118" s="313"/>
    </row>
    <row r="119" spans="1:9" hidden="1">
      <c r="A119" s="311"/>
      <c r="B119" s="312">
        <v>10</v>
      </c>
      <c r="C119" s="312" t="str">
        <f>IF(B79*2&gt;C79,A79,"")</f>
        <v>Oct</v>
      </c>
      <c r="D119" s="312"/>
      <c r="E119" s="312"/>
      <c r="F119" s="312"/>
      <c r="G119" s="312"/>
      <c r="H119" s="312"/>
      <c r="I119" s="313"/>
    </row>
    <row r="120" spans="1:9" hidden="1">
      <c r="A120" s="311"/>
      <c r="B120" s="312">
        <v>11</v>
      </c>
      <c r="C120" s="312" t="str">
        <f>IF(B80*2&gt;C80,A80,"")</f>
        <v>Nov</v>
      </c>
      <c r="D120" s="312"/>
      <c r="E120" s="312"/>
      <c r="F120" s="312"/>
      <c r="G120" s="312"/>
      <c r="H120" s="312"/>
      <c r="I120" s="313"/>
    </row>
    <row r="121" spans="1:9" hidden="1">
      <c r="A121" s="311"/>
      <c r="B121" s="312">
        <v>12</v>
      </c>
      <c r="C121" s="312" t="str">
        <f>IF(B81*2&gt;C81,A81,"")</f>
        <v>Dec</v>
      </c>
      <c r="D121" s="312"/>
      <c r="E121" s="312"/>
      <c r="F121" s="312"/>
      <c r="G121" s="312"/>
      <c r="H121" s="312"/>
      <c r="I121" s="313"/>
    </row>
    <row r="122" spans="1:9" hidden="1">
      <c r="A122" s="311"/>
      <c r="B122" s="312"/>
      <c r="C122" s="317" t="str">
        <f>CONCATENATE(C110,D110,C111,D110,C112,D110,C113,D110,C114,D110,C115,D110,C116,D110,C117,D110,C118,D110,C119,D110,C120,D110,C121)</f>
        <v>Jan Feb Mar Apr      Oct Nov Dec</v>
      </c>
      <c r="D122" s="312"/>
      <c r="E122" s="312"/>
      <c r="F122" s="312"/>
      <c r="G122" s="312"/>
      <c r="H122" s="312"/>
      <c r="I122" s="313"/>
    </row>
    <row r="123" spans="1:9" hidden="1">
      <c r="A123" s="311"/>
      <c r="B123" s="312"/>
      <c r="C123" s="312"/>
      <c r="D123" s="312"/>
      <c r="E123" s="312"/>
      <c r="F123" s="312"/>
      <c r="G123" s="312"/>
      <c r="H123" s="312"/>
      <c r="I123" s="313"/>
    </row>
    <row r="124" spans="1:9" hidden="1">
      <c r="A124" s="311" t="s">
        <v>21</v>
      </c>
      <c r="B124" s="312">
        <f>Climograma!E65</f>
        <v>15.173116089613034</v>
      </c>
      <c r="C124" s="10"/>
      <c r="D124" s="312"/>
      <c r="E124" s="312"/>
      <c r="F124" s="312"/>
      <c r="G124" s="312"/>
      <c r="H124" s="312"/>
      <c r="I124" s="313"/>
    </row>
    <row r="125" spans="1:9" ht="13.5" hidden="1" thickBot="1">
      <c r="A125" s="319" t="s">
        <v>89</v>
      </c>
      <c r="B125" s="320">
        <f>Climograma!E66</f>
        <v>3.9060402684563766</v>
      </c>
      <c r="C125" s="320" t="str">
        <f>IF($B$125&gt;6,"Área desértica",IF($B$125&gt;3,"Área subdesértica",IF($B$125&gt;2,"Área semiárida","Área húmeda")))</f>
        <v>Área subdesértica</v>
      </c>
      <c r="D125" s="320"/>
      <c r="E125" s="320"/>
      <c r="F125" s="320"/>
      <c r="G125" s="320"/>
      <c r="H125" s="320"/>
      <c r="I125" s="321"/>
    </row>
    <row r="126" spans="1:9" ht="14.25">
      <c r="A126" s="69"/>
      <c r="B126" s="69"/>
      <c r="C126" s="69"/>
      <c r="D126" s="69"/>
      <c r="E126" s="72"/>
      <c r="F126" s="73"/>
      <c r="G126" s="69"/>
      <c r="H126" s="69"/>
      <c r="I126" s="69"/>
    </row>
  </sheetData>
  <phoneticPr fontId="19" type="noConversion"/>
  <conditionalFormatting sqref="H51">
    <cfRule type="colorScale" priority="1">
      <colorScale>
        <cfvo type="num" val="0"/>
        <cfvo type="percentile" val="60"/>
        <cfvo type="num" val="120"/>
        <color rgb="FF92D050"/>
        <color rgb="FFFFFF00"/>
        <color rgb="FFC00000"/>
      </colorScale>
    </cfRule>
  </conditionalFormatting>
  <pageMargins left="0.7597222222222223" right="0.59027777777777779" top="0.62013888888888891" bottom="0.78749999999999998" header="0.12013888888888889" footer="0"/>
  <pageSetup paperSize="9" firstPageNumber="0" orientation="portrait" horizontalDpi="300" verticalDpi="300"/>
  <headerFooter alignWithMargins="0">
    <oddHeader>&amp;LI.E.S. Cabañas&amp;CProyecto Sócrates&amp;ROur local waterworlds</oddHeader>
    <oddFooter>&amp;RFrancisco   L. Alda 2006/07</oddFoot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48"/>
  <sheetViews>
    <sheetView workbookViewId="0">
      <selection activeCell="P19" sqref="P19"/>
    </sheetView>
  </sheetViews>
  <sheetFormatPr baseColWidth="10" defaultRowHeight="12.75"/>
  <cols>
    <col min="1" max="17" width="6" customWidth="1"/>
    <col min="19" max="26" width="6.85546875" customWidth="1"/>
  </cols>
  <sheetData>
    <row r="2" spans="1:16">
      <c r="A2" s="393" t="s">
        <v>307</v>
      </c>
      <c r="M2" s="393"/>
      <c r="N2" s="370" t="s">
        <v>311</v>
      </c>
      <c r="O2" s="370" t="s">
        <v>312</v>
      </c>
      <c r="P2" s="370" t="s">
        <v>313</v>
      </c>
    </row>
    <row r="3" spans="1:16">
      <c r="A3" t="s">
        <v>26</v>
      </c>
      <c r="B3">
        <f>Datos_básicos!B29</f>
        <v>1.1000000000000001</v>
      </c>
      <c r="M3" t="s">
        <v>26</v>
      </c>
      <c r="N3">
        <f>Datos_básicos!B33</f>
        <v>0.8</v>
      </c>
      <c r="O3">
        <f>Datos_básicos!B34</f>
        <v>0</v>
      </c>
      <c r="P3">
        <f>Datos_básicos!B35</f>
        <v>0</v>
      </c>
    </row>
    <row r="4" spans="1:16">
      <c r="A4" t="s">
        <v>27</v>
      </c>
      <c r="B4">
        <f>Datos_básicos!C29</f>
        <v>0.6</v>
      </c>
      <c r="M4" t="s">
        <v>27</v>
      </c>
      <c r="N4">
        <f>Datos_básicos!C33</f>
        <v>1.8</v>
      </c>
      <c r="O4">
        <f>Datos_básicos!C34</f>
        <v>0</v>
      </c>
      <c r="P4">
        <f>Datos_básicos!C35</f>
        <v>0</v>
      </c>
    </row>
    <row r="5" spans="1:16">
      <c r="A5" t="s">
        <v>28</v>
      </c>
      <c r="B5">
        <f>Datos_básicos!D29</f>
        <v>0.5</v>
      </c>
      <c r="M5" t="s">
        <v>28</v>
      </c>
      <c r="N5">
        <f>Datos_básicos!D33</f>
        <v>0.9</v>
      </c>
      <c r="O5">
        <f>Datos_básicos!D34</f>
        <v>0</v>
      </c>
      <c r="P5">
        <f>Datos_básicos!D35</f>
        <v>0</v>
      </c>
    </row>
    <row r="6" spans="1:16">
      <c r="A6" t="s">
        <v>29</v>
      </c>
      <c r="B6">
        <f>Datos_básicos!E29</f>
        <v>0.2</v>
      </c>
      <c r="M6" t="s">
        <v>29</v>
      </c>
      <c r="N6">
        <f>Datos_básicos!E33</f>
        <v>0</v>
      </c>
      <c r="O6">
        <f>Datos_básicos!E34</f>
        <v>0</v>
      </c>
      <c r="P6">
        <f>Datos_básicos!E35</f>
        <v>0</v>
      </c>
    </row>
    <row r="7" spans="1:16">
      <c r="A7" t="s">
        <v>30</v>
      </c>
      <c r="B7">
        <f>Datos_básicos!F29</f>
        <v>0.1</v>
      </c>
      <c r="M7" t="s">
        <v>30</v>
      </c>
      <c r="N7">
        <f>Datos_básicos!F33</f>
        <v>0.1</v>
      </c>
      <c r="O7">
        <f>Datos_básicos!F34</f>
        <v>0</v>
      </c>
      <c r="P7">
        <f>Datos_básicos!F35</f>
        <v>0</v>
      </c>
    </row>
    <row r="8" spans="1:16">
      <c r="A8" t="s">
        <v>31</v>
      </c>
      <c r="B8">
        <f>Datos_básicos!G29</f>
        <v>0.1</v>
      </c>
      <c r="M8" t="s">
        <v>31</v>
      </c>
      <c r="N8">
        <f>Datos_básicos!G33</f>
        <v>0</v>
      </c>
      <c r="O8">
        <f>Datos_básicos!G34</f>
        <v>0</v>
      </c>
      <c r="P8">
        <f>Datos_básicos!G35</f>
        <v>0</v>
      </c>
    </row>
    <row r="9" spans="1:16">
      <c r="A9" t="s">
        <v>32</v>
      </c>
      <c r="B9">
        <f>Datos_básicos!H29</f>
        <v>0.5</v>
      </c>
      <c r="M9" t="s">
        <v>32</v>
      </c>
      <c r="N9">
        <f>Datos_básicos!H33</f>
        <v>0.1</v>
      </c>
      <c r="O9">
        <f>Datos_básicos!H34</f>
        <v>0</v>
      </c>
      <c r="P9">
        <f>Datos_básicos!H35</f>
        <v>0</v>
      </c>
    </row>
    <row r="10" spans="1:16">
      <c r="A10" t="s">
        <v>33</v>
      </c>
      <c r="B10">
        <f>Datos_básicos!I29</f>
        <v>0.4</v>
      </c>
      <c r="M10" t="s">
        <v>33</v>
      </c>
      <c r="N10">
        <f>Datos_básicos!I33</f>
        <v>0.1</v>
      </c>
      <c r="O10">
        <f>Datos_básicos!I34</f>
        <v>0</v>
      </c>
      <c r="P10">
        <f>Datos_básicos!I35</f>
        <v>0</v>
      </c>
    </row>
    <row r="11" spans="1:16">
      <c r="A11" t="s">
        <v>34</v>
      </c>
      <c r="B11">
        <f>Datos_básicos!J29</f>
        <v>0.3</v>
      </c>
      <c r="M11" t="s">
        <v>34</v>
      </c>
      <c r="N11">
        <f>Datos_básicos!J33</f>
        <v>0.7</v>
      </c>
      <c r="O11">
        <f>Datos_básicos!J34</f>
        <v>0</v>
      </c>
      <c r="P11">
        <f>Datos_básicos!J35</f>
        <v>0</v>
      </c>
    </row>
    <row r="12" spans="1:16">
      <c r="A12" t="s">
        <v>23</v>
      </c>
      <c r="B12">
        <f>Datos_básicos!K29</f>
        <v>0.3</v>
      </c>
      <c r="M12" t="s">
        <v>23</v>
      </c>
      <c r="N12">
        <f>Datos_básicos!K33</f>
        <v>0.4</v>
      </c>
      <c r="O12">
        <f>Datos_básicos!K34</f>
        <v>0</v>
      </c>
      <c r="P12">
        <f>Datos_básicos!K35</f>
        <v>0</v>
      </c>
    </row>
    <row r="13" spans="1:16">
      <c r="A13" t="s">
        <v>24</v>
      </c>
      <c r="B13">
        <f>Datos_básicos!L29</f>
        <v>1</v>
      </c>
      <c r="M13" t="s">
        <v>24</v>
      </c>
      <c r="N13">
        <f>Datos_básicos!L33</f>
        <v>0.4</v>
      </c>
      <c r="O13">
        <f>Datos_básicos!L34</f>
        <v>0</v>
      </c>
      <c r="P13">
        <f>Datos_básicos!L35</f>
        <v>0</v>
      </c>
    </row>
    <row r="14" spans="1:16">
      <c r="A14" t="s">
        <v>25</v>
      </c>
      <c r="B14">
        <f>Datos_básicos!M29</f>
        <v>2.1</v>
      </c>
      <c r="M14" t="s">
        <v>25</v>
      </c>
      <c r="N14">
        <f>Datos_básicos!M33</f>
        <v>0.7</v>
      </c>
      <c r="O14">
        <f>Datos_básicos!M34</f>
        <v>0</v>
      </c>
      <c r="P14">
        <f>Datos_básicos!M35</f>
        <v>0</v>
      </c>
    </row>
    <row r="19" spans="1:13">
      <c r="A19" s="393" t="s">
        <v>267</v>
      </c>
      <c r="M19" s="393"/>
    </row>
    <row r="20" spans="1:13">
      <c r="A20" t="s">
        <v>26</v>
      </c>
      <c r="B20">
        <f>Datos_básicos!B30</f>
        <v>0.3</v>
      </c>
    </row>
    <row r="21" spans="1:13">
      <c r="A21" t="s">
        <v>27</v>
      </c>
      <c r="B21">
        <f>Datos_básicos!C30</f>
        <v>0.8</v>
      </c>
    </row>
    <row r="22" spans="1:13">
      <c r="A22" t="s">
        <v>28</v>
      </c>
      <c r="B22">
        <f>Datos_básicos!D30</f>
        <v>3</v>
      </c>
    </row>
    <row r="23" spans="1:13">
      <c r="A23" t="s">
        <v>29</v>
      </c>
      <c r="B23">
        <f>Datos_básicos!E30</f>
        <v>2.6</v>
      </c>
    </row>
    <row r="24" spans="1:13">
      <c r="A24" t="s">
        <v>30</v>
      </c>
      <c r="B24">
        <f>Datos_básicos!F30</f>
        <v>2.6</v>
      </c>
    </row>
    <row r="25" spans="1:13">
      <c r="A25" t="s">
        <v>31</v>
      </c>
      <c r="B25">
        <f>Datos_básicos!G30</f>
        <v>2.2999999999999998</v>
      </c>
    </row>
    <row r="26" spans="1:13">
      <c r="A26" t="s">
        <v>32</v>
      </c>
      <c r="B26">
        <f>Datos_básicos!H30</f>
        <v>1.6</v>
      </c>
    </row>
    <row r="27" spans="1:13">
      <c r="A27" t="s">
        <v>33</v>
      </c>
      <c r="B27">
        <f>Datos_básicos!I30</f>
        <v>2</v>
      </c>
    </row>
    <row r="28" spans="1:13">
      <c r="A28" t="s">
        <v>34</v>
      </c>
      <c r="B28">
        <f>Datos_básicos!J30</f>
        <v>2.7</v>
      </c>
    </row>
    <row r="29" spans="1:13">
      <c r="A29" t="s">
        <v>23</v>
      </c>
      <c r="B29">
        <f>Datos_básicos!K30</f>
        <v>0.9</v>
      </c>
    </row>
    <row r="30" spans="1:13">
      <c r="A30" t="s">
        <v>24</v>
      </c>
      <c r="B30">
        <f>Datos_básicos!L30</f>
        <v>1</v>
      </c>
    </row>
    <row r="31" spans="1:13">
      <c r="A31" t="s">
        <v>25</v>
      </c>
      <c r="B31">
        <f>Datos_básicos!M30</f>
        <v>0.7</v>
      </c>
    </row>
    <row r="36" spans="1:13">
      <c r="A36" s="393" t="s">
        <v>269</v>
      </c>
      <c r="B36" t="s">
        <v>308</v>
      </c>
      <c r="C36" t="s">
        <v>309</v>
      </c>
      <c r="M36" s="393"/>
    </row>
    <row r="37" spans="1:13">
      <c r="A37" t="s">
        <v>26</v>
      </c>
      <c r="B37">
        <f>Datos_básicos!B32</f>
        <v>0</v>
      </c>
      <c r="C37">
        <f>Datos_básicos!B31</f>
        <v>0</v>
      </c>
    </row>
    <row r="38" spans="1:13">
      <c r="A38" t="s">
        <v>27</v>
      </c>
      <c r="B38">
        <f>Datos_básicos!C32</f>
        <v>0</v>
      </c>
      <c r="C38">
        <f>Datos_básicos!C31</f>
        <v>0</v>
      </c>
    </row>
    <row r="39" spans="1:13">
      <c r="A39" t="s">
        <v>28</v>
      </c>
      <c r="B39">
        <f>Datos_básicos!D32</f>
        <v>0</v>
      </c>
      <c r="C39">
        <f>Datos_básicos!D31</f>
        <v>0</v>
      </c>
    </row>
    <row r="40" spans="1:13">
      <c r="A40" t="s">
        <v>29</v>
      </c>
      <c r="B40">
        <f>Datos_básicos!E32</f>
        <v>0</v>
      </c>
      <c r="C40">
        <f>Datos_básicos!E31</f>
        <v>0</v>
      </c>
    </row>
    <row r="41" spans="1:13">
      <c r="A41" t="s">
        <v>30</v>
      </c>
      <c r="B41">
        <f>Datos_básicos!F32</f>
        <v>0</v>
      </c>
      <c r="C41">
        <f>Datos_básicos!F31</f>
        <v>0</v>
      </c>
    </row>
    <row r="42" spans="1:13">
      <c r="A42" t="s">
        <v>31</v>
      </c>
      <c r="B42">
        <f>Datos_básicos!G32</f>
        <v>0</v>
      </c>
      <c r="C42">
        <f>Datos_básicos!G31</f>
        <v>0</v>
      </c>
    </row>
    <row r="43" spans="1:13">
      <c r="A43" t="s">
        <v>32</v>
      </c>
      <c r="B43">
        <f>Datos_básicos!H32</f>
        <v>0</v>
      </c>
      <c r="C43">
        <f>Datos_básicos!H31</f>
        <v>0</v>
      </c>
    </row>
    <row r="44" spans="1:13">
      <c r="A44" t="s">
        <v>33</v>
      </c>
      <c r="B44">
        <f>Datos_básicos!I32</f>
        <v>0</v>
      </c>
      <c r="C44">
        <f>Datos_básicos!I31</f>
        <v>0</v>
      </c>
    </row>
    <row r="45" spans="1:13">
      <c r="A45" t="s">
        <v>34</v>
      </c>
      <c r="B45">
        <f>Datos_básicos!J32</f>
        <v>0</v>
      </c>
      <c r="C45">
        <f>Datos_básicos!J31</f>
        <v>0</v>
      </c>
    </row>
    <row r="46" spans="1:13">
      <c r="A46" t="s">
        <v>23</v>
      </c>
      <c r="B46">
        <f>Datos_básicos!K32</f>
        <v>0</v>
      </c>
      <c r="C46">
        <f>Datos_básicos!K31</f>
        <v>0</v>
      </c>
    </row>
    <row r="47" spans="1:13">
      <c r="A47" t="s">
        <v>24</v>
      </c>
      <c r="B47">
        <f>Datos_básicos!L32</f>
        <v>0</v>
      </c>
      <c r="C47">
        <f>Datos_básicos!L31</f>
        <v>0</v>
      </c>
    </row>
    <row r="48" spans="1:13">
      <c r="A48" t="s">
        <v>25</v>
      </c>
      <c r="B48">
        <f>Datos_básicos!M32</f>
        <v>0</v>
      </c>
      <c r="C48">
        <f>Datos_básicos!M31</f>
        <v>0</v>
      </c>
    </row>
  </sheetData>
  <pageMargins left="0.7" right="0.7" top="0.75" bottom="0.75" header="0.3" footer="0.3"/>
  <pageSetup paperSize="9" orientation="portrait" horizontalDpi="300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T32"/>
  <sheetViews>
    <sheetView workbookViewId="0">
      <selection activeCell="R13" sqref="R13"/>
    </sheetView>
  </sheetViews>
  <sheetFormatPr baseColWidth="10" defaultRowHeight="12.75"/>
  <cols>
    <col min="1" max="1" width="12.7109375" style="23" customWidth="1"/>
    <col min="2" max="2" width="3.140625" style="23" customWidth="1"/>
    <col min="3" max="14" width="5.85546875" style="24" customWidth="1"/>
    <col min="15" max="15" width="0.140625" style="24" customWidth="1"/>
    <col min="16" max="16" width="9.28515625" style="25" customWidth="1"/>
    <col min="17" max="17" width="3.28515625" style="23" customWidth="1"/>
    <col min="18" max="18" width="11.140625" style="23" customWidth="1"/>
    <col min="19" max="19" width="7.42578125" style="23" customWidth="1"/>
    <col min="20" max="20" width="7.5703125" style="23" customWidth="1"/>
    <col min="21" max="16384" width="11.42578125" style="23"/>
  </cols>
  <sheetData>
    <row r="1" spans="1:20" ht="15.75">
      <c r="A1" s="17" t="s">
        <v>41</v>
      </c>
      <c r="B1" s="18"/>
      <c r="C1" s="26" t="str">
        <f>nombre</f>
        <v>Santander</v>
      </c>
      <c r="D1" s="27"/>
      <c r="E1" s="27"/>
      <c r="F1" s="27"/>
      <c r="G1" s="27"/>
      <c r="H1" s="28"/>
      <c r="M1" s="29"/>
    </row>
    <row r="2" spans="1:20" ht="19.5" customHeight="1">
      <c r="B2" s="30"/>
      <c r="D2" s="30"/>
      <c r="E2" s="30"/>
      <c r="H2" s="30"/>
      <c r="I2" s="31"/>
      <c r="N2" s="32"/>
      <c r="O2" s="33" t="s">
        <v>35</v>
      </c>
      <c r="P2" s="34">
        <v>100</v>
      </c>
    </row>
    <row r="3" spans="1:20" s="24" customFormat="1" ht="15" customHeight="1">
      <c r="A3" s="19"/>
      <c r="B3" s="35"/>
      <c r="C3" s="35" t="s">
        <v>96</v>
      </c>
      <c r="D3" s="35" t="s">
        <v>97</v>
      </c>
      <c r="E3" s="35" t="s">
        <v>3</v>
      </c>
      <c r="F3" s="35" t="s">
        <v>98</v>
      </c>
      <c r="G3" s="35" t="s">
        <v>90</v>
      </c>
      <c r="H3" s="35" t="s">
        <v>91</v>
      </c>
      <c r="I3" s="35" t="s">
        <v>92</v>
      </c>
      <c r="J3" s="35" t="s">
        <v>93</v>
      </c>
      <c r="K3" s="35" t="s">
        <v>92</v>
      </c>
      <c r="L3" s="35" t="s">
        <v>94</v>
      </c>
      <c r="M3" s="35" t="s">
        <v>125</v>
      </c>
      <c r="N3" s="35" t="s">
        <v>93</v>
      </c>
      <c r="O3" s="35" t="s">
        <v>36</v>
      </c>
      <c r="P3" s="36" t="s">
        <v>37</v>
      </c>
    </row>
    <row r="4" spans="1:20" ht="15" customHeight="1">
      <c r="A4" s="20" t="s">
        <v>38</v>
      </c>
      <c r="B4" s="37"/>
      <c r="C4" s="38">
        <f>Datos_básicos!J13</f>
        <v>13</v>
      </c>
      <c r="D4" s="38">
        <f>Datos_básicos!K13</f>
        <v>13.9</v>
      </c>
      <c r="E4" s="38">
        <f>Datos_básicos!L13</f>
        <v>15</v>
      </c>
      <c r="F4" s="38">
        <f>Datos_básicos!M13</f>
        <v>16.2</v>
      </c>
      <c r="G4" s="38">
        <f>Datos_básicos!B13</f>
        <v>17.3</v>
      </c>
      <c r="H4" s="38">
        <f>Datos_básicos!C13</f>
        <v>17.399999999999999</v>
      </c>
      <c r="I4" s="38">
        <f>Datos_básicos!D13</f>
        <v>16.5</v>
      </c>
      <c r="J4" s="38">
        <f>Datos_básicos!E13</f>
        <v>14.9</v>
      </c>
      <c r="K4" s="38">
        <f>Datos_básicos!F13</f>
        <v>13.7</v>
      </c>
      <c r="L4" s="38">
        <f>Datos_básicos!G13</f>
        <v>12.5</v>
      </c>
      <c r="M4" s="38">
        <f>Datos_básicos!H13</f>
        <v>11.8</v>
      </c>
      <c r="N4" s="38">
        <f>Datos_básicos!I13</f>
        <v>12.4</v>
      </c>
      <c r="O4" s="39">
        <f>C4</f>
        <v>13</v>
      </c>
      <c r="P4" s="40"/>
    </row>
    <row r="5" spans="1:20" ht="15" customHeight="1">
      <c r="A5" s="21" t="s">
        <v>39</v>
      </c>
      <c r="B5" s="41"/>
      <c r="C5" s="42">
        <f>IF(C4&lt;0,0,(C4/5)^1.514)</f>
        <v>4.2488328758353324</v>
      </c>
      <c r="D5" s="42">
        <f t="shared" ref="D5:N5" si="0">IF(D4&lt;0,0,(D4/5)^1.514)</f>
        <v>4.7020129513184337</v>
      </c>
      <c r="E5" s="42">
        <f t="shared" si="0"/>
        <v>5.2766899886282506</v>
      </c>
      <c r="F5" s="42">
        <f t="shared" si="0"/>
        <v>5.9287774093502588</v>
      </c>
      <c r="G5" s="42">
        <f t="shared" si="0"/>
        <v>6.5487922533990863</v>
      </c>
      <c r="H5" s="42">
        <f t="shared" si="0"/>
        <v>6.6061887085285447</v>
      </c>
      <c r="I5" s="42">
        <f t="shared" si="0"/>
        <v>6.0957915135555405</v>
      </c>
      <c r="J5" s="42">
        <f t="shared" si="0"/>
        <v>5.2235219475622605</v>
      </c>
      <c r="K5" s="42">
        <f t="shared" si="0"/>
        <v>4.5999631449040264</v>
      </c>
      <c r="L5" s="42">
        <f t="shared" si="0"/>
        <v>4.0038811094095461</v>
      </c>
      <c r="M5" s="42">
        <f t="shared" si="0"/>
        <v>3.6693469051213583</v>
      </c>
      <c r="N5" s="42">
        <f t="shared" si="0"/>
        <v>3.9554859367530266</v>
      </c>
      <c r="O5" s="43">
        <f t="shared" ref="O5:O15" si="1">C5</f>
        <v>4.2488328758353324</v>
      </c>
      <c r="P5" s="40">
        <f>SUM(C5:N5)</f>
        <v>60.859284744365667</v>
      </c>
      <c r="Q5" s="44" t="s">
        <v>40</v>
      </c>
      <c r="R5" s="45">
        <f>0.000000675*I^3-0.0000771*I^2+0.01792*I+0.49239</f>
        <v>1.4495756778581188</v>
      </c>
    </row>
    <row r="6" spans="1:20" ht="15" customHeight="1">
      <c r="A6" s="21" t="s">
        <v>42</v>
      </c>
      <c r="B6" s="41"/>
      <c r="C6" s="46">
        <f t="shared" ref="C6:N6" si="2">IF(C4&lt;0,0,16*(10*C4/I)^a)</f>
        <v>48.075527281506488</v>
      </c>
      <c r="D6" s="46">
        <f t="shared" si="2"/>
        <v>52.974311389264642</v>
      </c>
      <c r="E6" s="46">
        <f t="shared" si="2"/>
        <v>59.157818449476075</v>
      </c>
      <c r="F6" s="46">
        <f t="shared" si="2"/>
        <v>66.139729325988114</v>
      </c>
      <c r="G6" s="46">
        <f t="shared" si="2"/>
        <v>72.74788730046744</v>
      </c>
      <c r="H6" s="46">
        <f t="shared" si="2"/>
        <v>73.358236689618295</v>
      </c>
      <c r="I6" s="46">
        <f t="shared" si="2"/>
        <v>67.922549644081755</v>
      </c>
      <c r="J6" s="46">
        <f t="shared" si="2"/>
        <v>58.586984663660402</v>
      </c>
      <c r="K6" s="46">
        <f t="shared" si="2"/>
        <v>51.87299848569269</v>
      </c>
      <c r="L6" s="46">
        <f t="shared" si="2"/>
        <v>45.418516188087544</v>
      </c>
      <c r="M6" s="46">
        <f t="shared" si="2"/>
        <v>41.778510612186381</v>
      </c>
      <c r="N6" s="46">
        <f t="shared" si="2"/>
        <v>44.892764138678238</v>
      </c>
      <c r="O6" s="43">
        <f t="shared" si="1"/>
        <v>48.075527281506488</v>
      </c>
      <c r="P6" s="40"/>
    </row>
    <row r="7" spans="1:20" ht="15" customHeight="1">
      <c r="A7" s="21" t="s">
        <v>43</v>
      </c>
      <c r="B7" s="41"/>
      <c r="C7" s="47">
        <v>30</v>
      </c>
      <c r="D7" s="47">
        <v>31</v>
      </c>
      <c r="E7" s="47">
        <v>30</v>
      </c>
      <c r="F7" s="47">
        <v>31</v>
      </c>
      <c r="G7" s="47">
        <v>31</v>
      </c>
      <c r="H7" s="47">
        <v>28.25</v>
      </c>
      <c r="I7" s="47">
        <v>31</v>
      </c>
      <c r="J7" s="47">
        <v>30</v>
      </c>
      <c r="K7" s="47">
        <v>31</v>
      </c>
      <c r="L7" s="47">
        <v>30</v>
      </c>
      <c r="M7" s="47">
        <v>31</v>
      </c>
      <c r="N7" s="47">
        <v>31</v>
      </c>
      <c r="O7" s="43">
        <f t="shared" si="1"/>
        <v>30</v>
      </c>
      <c r="P7" s="40"/>
    </row>
    <row r="8" spans="1:20" ht="15" customHeight="1">
      <c r="A8" s="20" t="s">
        <v>44</v>
      </c>
      <c r="B8" s="37"/>
      <c r="C8" s="48">
        <f>Duración_día_índiceUV!J20</f>
        <v>12.556469289773526</v>
      </c>
      <c r="D8" s="48">
        <f>Duración_día_índiceUV!K20</f>
        <v>11.470739966206446</v>
      </c>
      <c r="E8" s="48">
        <f>Duración_día_índiceUV!L20</f>
        <v>10.473686942591449</v>
      </c>
      <c r="F8" s="48">
        <f>Duración_día_índiceUV!M20</f>
        <v>9.8561819686765269</v>
      </c>
      <c r="G8" s="48">
        <f>Duración_día_índiceUV!B20</f>
        <v>10.041539062719597</v>
      </c>
      <c r="H8" s="48">
        <f>Duración_día_índiceUV!C20</f>
        <v>10.871543028546105</v>
      </c>
      <c r="I8" s="48">
        <f>Duración_día_índiceUV!D20</f>
        <v>11.944995766716266</v>
      </c>
      <c r="J8" s="48">
        <f>Duración_día_índiceUV!E20</f>
        <v>13.033966196897666</v>
      </c>
      <c r="K8" s="48">
        <f>Duración_día_índiceUV!F20</f>
        <v>13.972882232790882</v>
      </c>
      <c r="L8" s="48">
        <f>Duración_día_índiceUV!G20</f>
        <v>14.487782858581681</v>
      </c>
      <c r="M8" s="48">
        <f>Duración_día_índiceUV!H20</f>
        <v>14.322737501098882</v>
      </c>
      <c r="N8" s="48">
        <f>Duración_día_índiceUV!I20</f>
        <v>13.575979356269471</v>
      </c>
      <c r="O8" s="49">
        <f t="shared" si="1"/>
        <v>12.556469289773526</v>
      </c>
      <c r="P8" s="40"/>
    </row>
    <row r="9" spans="1:20" ht="15" customHeight="1">
      <c r="A9" s="21" t="s">
        <v>45</v>
      </c>
      <c r="B9" s="50"/>
      <c r="C9" s="51">
        <f t="shared" ref="C9:N9" si="3">C6*C7/30*C8/12</f>
        <v>50.304906824992123</v>
      </c>
      <c r="D9" s="51">
        <f t="shared" si="3"/>
        <v>52.325808544133899</v>
      </c>
      <c r="E9" s="51">
        <f t="shared" si="3"/>
        <v>51.633372553872761</v>
      </c>
      <c r="F9" s="51">
        <f t="shared" si="3"/>
        <v>56.134559542984597</v>
      </c>
      <c r="G9" s="51">
        <f t="shared" si="3"/>
        <v>62.904231427213794</v>
      </c>
      <c r="H9" s="51">
        <f t="shared" si="3"/>
        <v>62.582949037255837</v>
      </c>
      <c r="I9" s="51">
        <f t="shared" si="3"/>
        <v>69.864921130158592</v>
      </c>
      <c r="J9" s="51">
        <f t="shared" si="3"/>
        <v>63.635064807025969</v>
      </c>
      <c r="K9" s="51">
        <f t="shared" si="3"/>
        <v>62.414650738811211</v>
      </c>
      <c r="L9" s="51">
        <f t="shared" si="3"/>
        <v>54.834466690999108</v>
      </c>
      <c r="M9" s="51">
        <f t="shared" si="3"/>
        <v>51.527394059005012</v>
      </c>
      <c r="N9" s="51">
        <f t="shared" si="3"/>
        <v>52.481556708249094</v>
      </c>
      <c r="O9" s="51">
        <f t="shared" si="1"/>
        <v>50.304906824992123</v>
      </c>
      <c r="P9" s="52">
        <f>SUM(C9:N9)</f>
        <v>690.64388206470198</v>
      </c>
      <c r="T9" s="53"/>
    </row>
    <row r="10" spans="1:20" ht="8.25" customHeight="1">
      <c r="A10" s="21"/>
      <c r="B10" s="50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49"/>
      <c r="P10" s="52"/>
    </row>
    <row r="11" spans="1:20" ht="15" customHeight="1">
      <c r="A11" s="20" t="s">
        <v>20</v>
      </c>
      <c r="B11" s="37"/>
      <c r="C11" s="55">
        <f>Datos_básicos!J20</f>
        <v>26.7</v>
      </c>
      <c r="D11" s="55">
        <f>Datos_básicos!K20</f>
        <v>10.4</v>
      </c>
      <c r="E11" s="55">
        <f>Datos_básicos!L20</f>
        <v>7.9</v>
      </c>
      <c r="F11" s="55">
        <f>Datos_básicos!M20</f>
        <v>1.3</v>
      </c>
      <c r="G11" s="55">
        <f>Datos_básicos!B20</f>
        <v>0.4</v>
      </c>
      <c r="H11" s="55">
        <f>Datos_básicos!C20</f>
        <v>0</v>
      </c>
      <c r="I11" s="55">
        <f>Datos_básicos!D20</f>
        <v>3.7</v>
      </c>
      <c r="J11" s="55">
        <f>Datos_básicos!E20</f>
        <v>13.3</v>
      </c>
      <c r="K11" s="55">
        <f>Datos_básicos!F20</f>
        <v>54.5</v>
      </c>
      <c r="L11" s="55">
        <f>Datos_básicos!G20</f>
        <v>83.1</v>
      </c>
      <c r="M11" s="55">
        <f>Datos_básicos!H20</f>
        <v>111.2</v>
      </c>
      <c r="N11" s="55">
        <f>Datos_básicos!I20</f>
        <v>60</v>
      </c>
      <c r="O11" s="49">
        <f t="shared" si="1"/>
        <v>26.7</v>
      </c>
      <c r="P11" s="52">
        <f>SUM(C11:N11)</f>
        <v>372.5</v>
      </c>
    </row>
    <row r="12" spans="1:20" ht="15" customHeight="1">
      <c r="A12" s="21" t="s">
        <v>46</v>
      </c>
      <c r="B12" s="41"/>
      <c r="C12" s="46">
        <f t="shared" ref="C12:N12" si="4">IF(ETP&lt;P+B14,ETP,P+B14)</f>
        <v>26.7</v>
      </c>
      <c r="D12" s="46">
        <f t="shared" si="4"/>
        <v>10.4</v>
      </c>
      <c r="E12" s="46">
        <f t="shared" si="4"/>
        <v>7.9</v>
      </c>
      <c r="F12" s="46">
        <f t="shared" si="4"/>
        <v>1.3</v>
      </c>
      <c r="G12" s="46">
        <f t="shared" si="4"/>
        <v>0.4</v>
      </c>
      <c r="H12" s="46">
        <f t="shared" si="4"/>
        <v>0</v>
      </c>
      <c r="I12" s="46">
        <f t="shared" si="4"/>
        <v>3.7</v>
      </c>
      <c r="J12" s="46">
        <f t="shared" si="4"/>
        <v>13.3</v>
      </c>
      <c r="K12" s="46">
        <f t="shared" si="4"/>
        <v>54.5</v>
      </c>
      <c r="L12" s="46">
        <f t="shared" si="4"/>
        <v>54.834466690999108</v>
      </c>
      <c r="M12" s="46">
        <f t="shared" si="4"/>
        <v>51.527394059005012</v>
      </c>
      <c r="N12" s="46">
        <f t="shared" si="4"/>
        <v>52.481556708249094</v>
      </c>
      <c r="O12" s="43">
        <f t="shared" si="1"/>
        <v>26.7</v>
      </c>
      <c r="P12" s="52">
        <f>SUM(C12:N12)</f>
        <v>277.04341745825326</v>
      </c>
    </row>
    <row r="13" spans="1:20" ht="15" customHeight="1">
      <c r="A13" s="21" t="s">
        <v>47</v>
      </c>
      <c r="B13" s="41"/>
      <c r="C13" s="46">
        <f>ETP-ETR</f>
        <v>23.604906824992124</v>
      </c>
      <c r="D13" s="46">
        <f t="shared" ref="D13:N13" si="5">ETP-ETR</f>
        <v>41.925808544133901</v>
      </c>
      <c r="E13" s="46">
        <f t="shared" si="5"/>
        <v>43.733372553872762</v>
      </c>
      <c r="F13" s="46">
        <f t="shared" si="5"/>
        <v>54.8345595429846</v>
      </c>
      <c r="G13" s="46">
        <f t="shared" si="5"/>
        <v>62.504231427213796</v>
      </c>
      <c r="H13" s="46">
        <f t="shared" si="5"/>
        <v>62.582949037255837</v>
      </c>
      <c r="I13" s="46">
        <f t="shared" si="5"/>
        <v>66.164921130158589</v>
      </c>
      <c r="J13" s="46">
        <f t="shared" si="5"/>
        <v>50.335064807025972</v>
      </c>
      <c r="K13" s="46">
        <f t="shared" si="5"/>
        <v>7.9146507388112113</v>
      </c>
      <c r="L13" s="46">
        <f t="shared" si="5"/>
        <v>0</v>
      </c>
      <c r="M13" s="46">
        <f t="shared" si="5"/>
        <v>0</v>
      </c>
      <c r="N13" s="46">
        <f t="shared" si="5"/>
        <v>0</v>
      </c>
      <c r="O13" s="43">
        <f t="shared" si="1"/>
        <v>23.604906824992124</v>
      </c>
      <c r="P13" s="52">
        <f>SUM(C13:N13)</f>
        <v>413.60046460644872</v>
      </c>
      <c r="S13" s="56"/>
    </row>
    <row r="14" spans="1:20" ht="15" customHeight="1">
      <c r="A14" s="21" t="s">
        <v>48</v>
      </c>
      <c r="B14" s="57">
        <v>0</v>
      </c>
      <c r="C14" s="46">
        <f>IF(B14+(P-ETR)&gt;Res,Res,B14+(P-ETR))</f>
        <v>0</v>
      </c>
      <c r="D14" s="46">
        <f t="shared" ref="D14:N14" si="6">IF(C14+(P-ETR)&gt;Res,Res,C14+(P-ETR))</f>
        <v>0</v>
      </c>
      <c r="E14" s="46">
        <f t="shared" si="6"/>
        <v>0</v>
      </c>
      <c r="F14" s="46">
        <f t="shared" si="6"/>
        <v>0</v>
      </c>
      <c r="G14" s="46">
        <f t="shared" si="6"/>
        <v>0</v>
      </c>
      <c r="H14" s="46">
        <f t="shared" si="6"/>
        <v>0</v>
      </c>
      <c r="I14" s="46">
        <f t="shared" si="6"/>
        <v>0</v>
      </c>
      <c r="J14" s="46">
        <f t="shared" si="6"/>
        <v>0</v>
      </c>
      <c r="K14" s="46">
        <f t="shared" si="6"/>
        <v>0</v>
      </c>
      <c r="L14" s="46">
        <f t="shared" si="6"/>
        <v>28.265533309000887</v>
      </c>
      <c r="M14" s="46">
        <f t="shared" si="6"/>
        <v>87.938139249995885</v>
      </c>
      <c r="N14" s="46">
        <f t="shared" si="6"/>
        <v>95.456582541746798</v>
      </c>
      <c r="O14" s="43">
        <f t="shared" si="1"/>
        <v>0</v>
      </c>
      <c r="P14" s="52"/>
    </row>
    <row r="15" spans="1:20" ht="15" customHeight="1">
      <c r="A15" s="22" t="s">
        <v>49</v>
      </c>
      <c r="B15" s="58"/>
      <c r="C15" s="59">
        <f>IF(B14+(P-ETR)&gt;Res,B14+(P-ETR)-Res,0)</f>
        <v>0</v>
      </c>
      <c r="D15" s="59">
        <f t="shared" ref="D15:N15" si="7">IF(C14+(P-ETR)&gt;Res,C14+(P-ETR)-Res,0)</f>
        <v>0</v>
      </c>
      <c r="E15" s="59">
        <f t="shared" si="7"/>
        <v>0</v>
      </c>
      <c r="F15" s="59">
        <f t="shared" si="7"/>
        <v>0</v>
      </c>
      <c r="G15" s="59">
        <f t="shared" si="7"/>
        <v>0</v>
      </c>
      <c r="H15" s="59">
        <f t="shared" si="7"/>
        <v>0</v>
      </c>
      <c r="I15" s="59">
        <f t="shared" si="7"/>
        <v>0</v>
      </c>
      <c r="J15" s="59">
        <f t="shared" si="7"/>
        <v>0</v>
      </c>
      <c r="K15" s="59">
        <f t="shared" si="7"/>
        <v>0</v>
      </c>
      <c r="L15" s="59">
        <f t="shared" si="7"/>
        <v>0</v>
      </c>
      <c r="M15" s="59">
        <f t="shared" si="7"/>
        <v>0</v>
      </c>
      <c r="N15" s="59">
        <f t="shared" si="7"/>
        <v>0</v>
      </c>
      <c r="O15" s="60">
        <f t="shared" si="1"/>
        <v>0</v>
      </c>
      <c r="P15" s="61">
        <f>SUM(C15:N15)</f>
        <v>0</v>
      </c>
    </row>
    <row r="17" spans="1:16">
      <c r="A17" s="62"/>
    </row>
    <row r="18" spans="1:16">
      <c r="A18" s="62"/>
    </row>
    <row r="19" spans="1:16">
      <c r="A19" s="62"/>
      <c r="B19" s="63"/>
      <c r="C19" s="64"/>
      <c r="D19" s="64"/>
      <c r="E19" s="64"/>
      <c r="F19" s="64"/>
      <c r="G19" s="64"/>
      <c r="H19" s="64"/>
      <c r="I19" s="64"/>
      <c r="J19" s="64"/>
      <c r="K19" s="64"/>
      <c r="L19" s="64"/>
      <c r="M19" s="64"/>
      <c r="N19" s="64"/>
      <c r="O19" s="64"/>
      <c r="P19" s="65"/>
    </row>
    <row r="20" spans="1:16">
      <c r="A20" s="62"/>
      <c r="B20" s="63"/>
      <c r="C20" s="64"/>
      <c r="D20" s="64"/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64"/>
      <c r="P20" s="65"/>
    </row>
    <row r="21" spans="1:16">
      <c r="A21" s="62"/>
      <c r="B21" s="63"/>
      <c r="C21" s="64"/>
      <c r="D21" s="64"/>
      <c r="E21" s="64"/>
      <c r="F21" s="64"/>
      <c r="G21" s="64"/>
      <c r="H21" s="64"/>
      <c r="I21" s="64"/>
      <c r="J21" s="64"/>
      <c r="K21" s="64"/>
      <c r="L21" s="64"/>
      <c r="M21" s="64"/>
      <c r="N21" s="65"/>
      <c r="O21" s="65"/>
    </row>
    <row r="22" spans="1:16">
      <c r="A22" s="62"/>
      <c r="B22" s="63"/>
      <c r="C22" s="64"/>
      <c r="D22" s="64"/>
      <c r="E22" s="64"/>
      <c r="F22" s="64"/>
      <c r="G22" s="64"/>
      <c r="H22" s="64"/>
      <c r="I22" s="64"/>
      <c r="J22" s="64"/>
      <c r="K22" s="64"/>
      <c r="L22" s="64"/>
      <c r="M22" s="64"/>
      <c r="N22" s="65"/>
      <c r="O22" s="65"/>
    </row>
    <row r="23" spans="1:16">
      <c r="A23" s="62"/>
      <c r="B23" s="63"/>
      <c r="C23" s="64"/>
      <c r="D23" s="64"/>
      <c r="E23" s="64"/>
      <c r="F23" s="64"/>
      <c r="G23" s="64"/>
      <c r="H23" s="64"/>
      <c r="I23" s="64"/>
      <c r="J23" s="64"/>
      <c r="K23" s="64"/>
      <c r="L23" s="64"/>
      <c r="M23" s="64"/>
      <c r="N23" s="65"/>
      <c r="O23" s="65"/>
    </row>
    <row r="24" spans="1:16">
      <c r="A24" s="62"/>
      <c r="B24" s="66"/>
      <c r="C24" s="67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5"/>
      <c r="O24" s="65"/>
    </row>
    <row r="25" spans="1:16">
      <c r="A25" s="62"/>
    </row>
    <row r="26" spans="1:16">
      <c r="A26" s="62"/>
    </row>
    <row r="27" spans="1:16">
      <c r="A27" s="62"/>
    </row>
    <row r="29" spans="1:16">
      <c r="A29" s="62"/>
    </row>
    <row r="30" spans="1:16">
      <c r="A30" s="63"/>
    </row>
    <row r="31" spans="1:16" ht="7.5" customHeight="1">
      <c r="A31" s="63"/>
    </row>
    <row r="32" spans="1:16">
      <c r="A32" s="68"/>
    </row>
  </sheetData>
  <phoneticPr fontId="19" type="noConversion"/>
  <conditionalFormatting sqref="C15:N15">
    <cfRule type="colorScale" priority="2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C15:O15">
    <cfRule type="colorScale" priority="1">
      <colorScale>
        <cfvo type="min"/>
        <cfvo type="percentile" val="50"/>
        <cfvo type="max"/>
        <color rgb="FF5A8AC6"/>
        <color rgb="FFFCFCFF"/>
        <color rgb="FFF8696B"/>
      </colorScale>
    </cfRule>
  </conditionalFormatting>
  <printOptions gridLines="1"/>
  <pageMargins left="0.39374999999999999" right="0.39374999999999999" top="0.98402777777777783" bottom="0.98472222222222228" header="0.51180555555555562" footer="0.31527777777777777"/>
  <pageSetup paperSize="9" firstPageNumber="0" fitToHeight="2" orientation="portrait" horizontalDpi="300" verticalDpi="300" r:id="rId1"/>
  <headerFooter alignWithMargins="0">
    <oddFooter>&amp;C]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5137" r:id="rId4">
          <objectPr defaultSize="0" r:id="rId5">
            <anchor moveWithCells="1">
              <from>
                <xdr:col>19</xdr:col>
                <xdr:colOff>142875</xdr:colOff>
                <xdr:row>19</xdr:row>
                <xdr:rowOff>57150</xdr:rowOff>
              </from>
              <to>
                <xdr:col>24</xdr:col>
                <xdr:colOff>323850</xdr:colOff>
                <xdr:row>38</xdr:row>
                <xdr:rowOff>114300</xdr:rowOff>
              </to>
            </anchor>
          </objectPr>
        </oleObject>
      </mc:Choice>
      <mc:Fallback>
        <oleObject progId="Word.Document.8" shapeId="5137" r:id="rId4"/>
      </mc:Fallback>
    </mc:AlternateContent>
  </oleObjec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7"/>
  <sheetViews>
    <sheetView topLeftCell="A27" workbookViewId="0">
      <selection activeCell="U16" sqref="U16"/>
    </sheetView>
  </sheetViews>
  <sheetFormatPr baseColWidth="10" defaultRowHeight="12.75"/>
  <cols>
    <col min="1" max="1" width="19" style="130" customWidth="1"/>
    <col min="2" max="14" width="6.7109375" style="130" customWidth="1"/>
    <col min="15" max="15" width="10.7109375" style="130" customWidth="1"/>
    <col min="16" max="16384" width="11.42578125" style="130"/>
  </cols>
  <sheetData>
    <row r="2" spans="1:15" ht="18">
      <c r="A2" s="150" t="s">
        <v>142</v>
      </c>
      <c r="B2" s="148"/>
      <c r="C2" s="148"/>
      <c r="D2" s="148"/>
      <c r="E2" s="148"/>
      <c r="F2" s="148"/>
      <c r="G2" s="148"/>
      <c r="H2" s="148"/>
      <c r="I2" s="149"/>
      <c r="J2" s="148"/>
      <c r="K2" s="148"/>
      <c r="L2" s="148"/>
      <c r="M2" s="148"/>
      <c r="N2" s="148"/>
      <c r="O2" s="147"/>
    </row>
    <row r="3" spans="1:15">
      <c r="A3" s="146"/>
      <c r="B3" s="145"/>
      <c r="C3" s="144" t="s">
        <v>34</v>
      </c>
      <c r="D3" s="144" t="s">
        <v>23</v>
      </c>
      <c r="E3" s="144" t="s">
        <v>24</v>
      </c>
      <c r="F3" s="144" t="s">
        <v>25</v>
      </c>
      <c r="G3" s="144" t="s">
        <v>26</v>
      </c>
      <c r="H3" s="144" t="s">
        <v>27</v>
      </c>
      <c r="I3" s="144" t="s">
        <v>28</v>
      </c>
      <c r="J3" s="144" t="s">
        <v>29</v>
      </c>
      <c r="K3" s="144" t="s">
        <v>30</v>
      </c>
      <c r="L3" s="144" t="s">
        <v>31</v>
      </c>
      <c r="M3" s="144" t="s">
        <v>32</v>
      </c>
      <c r="N3" s="144" t="s">
        <v>33</v>
      </c>
      <c r="O3" s="143" t="s">
        <v>37</v>
      </c>
    </row>
    <row r="4" spans="1:15">
      <c r="A4" s="141" t="s">
        <v>141</v>
      </c>
      <c r="B4" s="140"/>
      <c r="C4" s="142">
        <f>Datos_básicos!J13</f>
        <v>13</v>
      </c>
      <c r="D4" s="142">
        <f>Datos_básicos!K13</f>
        <v>13.9</v>
      </c>
      <c r="E4" s="142">
        <f>Datos_básicos!L13</f>
        <v>15</v>
      </c>
      <c r="F4" s="142">
        <f>Datos_básicos!M13</f>
        <v>16.2</v>
      </c>
      <c r="G4" s="142">
        <f>Datos_básicos!B13</f>
        <v>17.3</v>
      </c>
      <c r="H4" s="142">
        <f>Datos_básicos!C13</f>
        <v>17.399999999999999</v>
      </c>
      <c r="I4" s="142">
        <f>Datos_básicos!D13</f>
        <v>16.5</v>
      </c>
      <c r="J4" s="142">
        <f>Datos_básicos!E13</f>
        <v>14.9</v>
      </c>
      <c r="K4" s="142">
        <f>Datos_básicos!F13</f>
        <v>13.7</v>
      </c>
      <c r="L4" s="142">
        <f>Datos_básicos!G13</f>
        <v>12.5</v>
      </c>
      <c r="M4" s="142">
        <f>Datos_básicos!H13</f>
        <v>11.8</v>
      </c>
      <c r="N4" s="142">
        <f>Datos_básicos!I13</f>
        <v>12.4</v>
      </c>
      <c r="O4" s="139"/>
    </row>
    <row r="5" spans="1:15">
      <c r="A5" s="141" t="s">
        <v>43</v>
      </c>
      <c r="B5" s="140"/>
      <c r="C5" s="140">
        <v>30</v>
      </c>
      <c r="D5" s="140">
        <v>31</v>
      </c>
      <c r="E5" s="140">
        <v>30</v>
      </c>
      <c r="F5" s="140">
        <v>31</v>
      </c>
      <c r="G5" s="140">
        <v>31</v>
      </c>
      <c r="H5" s="140">
        <v>28.25</v>
      </c>
      <c r="I5" s="140">
        <v>31</v>
      </c>
      <c r="J5" s="140">
        <v>30</v>
      </c>
      <c r="K5" s="140">
        <v>31</v>
      </c>
      <c r="L5" s="140">
        <v>30</v>
      </c>
      <c r="M5" s="140">
        <v>31</v>
      </c>
      <c r="N5" s="140">
        <v>31</v>
      </c>
      <c r="O5" s="139"/>
    </row>
    <row r="8" spans="1:15" ht="18">
      <c r="A8" s="138" t="s">
        <v>140</v>
      </c>
      <c r="B8" s="137"/>
      <c r="C8" s="137"/>
      <c r="D8" s="137"/>
      <c r="E8" s="137"/>
      <c r="F8" s="137"/>
      <c r="G8" s="137"/>
      <c r="H8" s="137"/>
      <c r="I8" s="137"/>
      <c r="J8" s="137"/>
      <c r="K8" s="137"/>
      <c r="L8" s="137"/>
      <c r="M8" s="137"/>
      <c r="N8" s="137"/>
      <c r="O8" s="137"/>
    </row>
    <row r="9" spans="1:15" ht="12.75" customHeight="1">
      <c r="A9" s="138"/>
      <c r="B9" s="137"/>
      <c r="C9" s="136" t="s">
        <v>34</v>
      </c>
      <c r="D9" s="136" t="s">
        <v>23</v>
      </c>
      <c r="E9" s="136" t="s">
        <v>24</v>
      </c>
      <c r="F9" s="136" t="s">
        <v>25</v>
      </c>
      <c r="G9" s="136" t="s">
        <v>26</v>
      </c>
      <c r="H9" s="136" t="s">
        <v>27</v>
      </c>
      <c r="I9" s="136" t="s">
        <v>28</v>
      </c>
      <c r="J9" s="136" t="s">
        <v>29</v>
      </c>
      <c r="K9" s="136" t="s">
        <v>30</v>
      </c>
      <c r="L9" s="136" t="s">
        <v>31</v>
      </c>
      <c r="M9" s="136" t="s">
        <v>32</v>
      </c>
      <c r="N9" s="136" t="s">
        <v>33</v>
      </c>
      <c r="O9" s="136" t="s">
        <v>37</v>
      </c>
    </row>
    <row r="10" spans="1:15">
      <c r="A10" s="136" t="s">
        <v>139</v>
      </c>
      <c r="B10" s="135"/>
      <c r="C10" s="135">
        <f t="shared" ref="C10:N10" si="0">IF(C4&gt;=6,(C4-6)*C5,0)</f>
        <v>210</v>
      </c>
      <c r="D10" s="135">
        <f t="shared" si="0"/>
        <v>244.9</v>
      </c>
      <c r="E10" s="135">
        <f t="shared" si="0"/>
        <v>270</v>
      </c>
      <c r="F10" s="135">
        <f t="shared" si="0"/>
        <v>316.2</v>
      </c>
      <c r="G10" s="135">
        <f t="shared" si="0"/>
        <v>350.3</v>
      </c>
      <c r="H10" s="135">
        <f t="shared" si="0"/>
        <v>322.04999999999995</v>
      </c>
      <c r="I10" s="135">
        <f t="shared" si="0"/>
        <v>325.5</v>
      </c>
      <c r="J10" s="135">
        <f t="shared" si="0"/>
        <v>267</v>
      </c>
      <c r="K10" s="135">
        <f t="shared" si="0"/>
        <v>238.7</v>
      </c>
      <c r="L10" s="135">
        <f t="shared" si="0"/>
        <v>195</v>
      </c>
      <c r="M10" s="135">
        <f t="shared" si="0"/>
        <v>179.8</v>
      </c>
      <c r="N10" s="135">
        <f t="shared" si="0"/>
        <v>198.4</v>
      </c>
      <c r="O10" s="135">
        <f>SUM(C10:N10)</f>
        <v>3117.85</v>
      </c>
    </row>
    <row r="11" spans="1:15">
      <c r="A11" s="136" t="s">
        <v>138</v>
      </c>
      <c r="B11" s="135"/>
      <c r="C11" s="135">
        <f t="shared" ref="C11:N11" si="1">IF(C4&lt;=15,(15-C4)*C5,0)</f>
        <v>60</v>
      </c>
      <c r="D11" s="135">
        <f t="shared" si="1"/>
        <v>34.099999999999987</v>
      </c>
      <c r="E11" s="135">
        <f t="shared" si="1"/>
        <v>0</v>
      </c>
      <c r="F11" s="135">
        <f t="shared" si="1"/>
        <v>0</v>
      </c>
      <c r="G11" s="135">
        <f t="shared" si="1"/>
        <v>0</v>
      </c>
      <c r="H11" s="135">
        <f t="shared" si="1"/>
        <v>0</v>
      </c>
      <c r="I11" s="135">
        <f t="shared" si="1"/>
        <v>0</v>
      </c>
      <c r="J11" s="135">
        <f t="shared" si="1"/>
        <v>2.9999999999999893</v>
      </c>
      <c r="K11" s="135">
        <f t="shared" si="1"/>
        <v>40.300000000000026</v>
      </c>
      <c r="L11" s="135">
        <f t="shared" si="1"/>
        <v>75</v>
      </c>
      <c r="M11" s="135">
        <f t="shared" si="1"/>
        <v>99.199999999999974</v>
      </c>
      <c r="N11" s="135">
        <f t="shared" si="1"/>
        <v>80.599999999999994</v>
      </c>
      <c r="O11" s="135">
        <f>SUM(C11:N11)</f>
        <v>392.19999999999993</v>
      </c>
    </row>
    <row r="12" spans="1:15">
      <c r="A12" s="136" t="s">
        <v>137</v>
      </c>
      <c r="B12" s="135"/>
      <c r="C12" s="135">
        <f t="shared" ref="C12:N12" si="2">IF(C4&gt;=20,(C4-20)*C5,0)</f>
        <v>0</v>
      </c>
      <c r="D12" s="135">
        <f t="shared" si="2"/>
        <v>0</v>
      </c>
      <c r="E12" s="135">
        <f t="shared" si="2"/>
        <v>0</v>
      </c>
      <c r="F12" s="135">
        <f t="shared" si="2"/>
        <v>0</v>
      </c>
      <c r="G12" s="135">
        <f t="shared" si="2"/>
        <v>0</v>
      </c>
      <c r="H12" s="135">
        <f t="shared" si="2"/>
        <v>0</v>
      </c>
      <c r="I12" s="135">
        <f t="shared" si="2"/>
        <v>0</v>
      </c>
      <c r="J12" s="135">
        <f t="shared" si="2"/>
        <v>0</v>
      </c>
      <c r="K12" s="135">
        <f t="shared" si="2"/>
        <v>0</v>
      </c>
      <c r="L12" s="135">
        <f t="shared" si="2"/>
        <v>0</v>
      </c>
      <c r="M12" s="135">
        <f t="shared" si="2"/>
        <v>0</v>
      </c>
      <c r="N12" s="135">
        <f t="shared" si="2"/>
        <v>0</v>
      </c>
      <c r="O12" s="135">
        <f>SUM(C12:N12)</f>
        <v>0</v>
      </c>
    </row>
    <row r="15" spans="1:15" ht="18">
      <c r="A15" s="134" t="s">
        <v>136</v>
      </c>
      <c r="B15" s="133"/>
      <c r="C15" s="133"/>
      <c r="D15" s="133"/>
      <c r="E15" s="133"/>
      <c r="F15" s="133"/>
      <c r="G15" s="133"/>
      <c r="H15" s="133"/>
      <c r="I15" s="133"/>
      <c r="J15" s="133"/>
      <c r="K15" s="133"/>
      <c r="L15" s="133"/>
      <c r="M15" s="133"/>
      <c r="N15" s="133"/>
      <c r="O15" s="133"/>
    </row>
    <row r="16" spans="1:15" ht="18">
      <c r="A16" s="134"/>
      <c r="B16" s="133"/>
      <c r="C16" s="132" t="s">
        <v>34</v>
      </c>
      <c r="D16" s="132" t="s">
        <v>23</v>
      </c>
      <c r="E16" s="132" t="s">
        <v>24</v>
      </c>
      <c r="F16" s="132" t="s">
        <v>25</v>
      </c>
      <c r="G16" s="132" t="s">
        <v>26</v>
      </c>
      <c r="H16" s="132" t="s">
        <v>27</v>
      </c>
      <c r="I16" s="132" t="s">
        <v>28</v>
      </c>
      <c r="J16" s="132" t="s">
        <v>29</v>
      </c>
      <c r="K16" s="132" t="s">
        <v>30</v>
      </c>
      <c r="L16" s="132" t="s">
        <v>31</v>
      </c>
      <c r="M16" s="132" t="s">
        <v>32</v>
      </c>
      <c r="N16" s="132" t="s">
        <v>33</v>
      </c>
      <c r="O16" s="132" t="s">
        <v>37</v>
      </c>
    </row>
    <row r="17" spans="1:15">
      <c r="A17" s="132"/>
      <c r="B17" s="131"/>
      <c r="C17" s="131">
        <f t="shared" ref="C17:N17" si="3">(C11*10+C12*10)+200</f>
        <v>800</v>
      </c>
      <c r="D17" s="131">
        <f t="shared" si="3"/>
        <v>540.99999999999989</v>
      </c>
      <c r="E17" s="131">
        <f t="shared" si="3"/>
        <v>200</v>
      </c>
      <c r="F17" s="131">
        <f t="shared" si="3"/>
        <v>200</v>
      </c>
      <c r="G17" s="131">
        <f t="shared" si="3"/>
        <v>200</v>
      </c>
      <c r="H17" s="131">
        <f t="shared" si="3"/>
        <v>200</v>
      </c>
      <c r="I17" s="131">
        <f t="shared" si="3"/>
        <v>200</v>
      </c>
      <c r="J17" s="131">
        <f t="shared" si="3"/>
        <v>229.99999999999989</v>
      </c>
      <c r="K17" s="131">
        <f t="shared" si="3"/>
        <v>603.00000000000023</v>
      </c>
      <c r="L17" s="131">
        <f t="shared" si="3"/>
        <v>950</v>
      </c>
      <c r="M17" s="131">
        <f t="shared" si="3"/>
        <v>1191.9999999999998</v>
      </c>
      <c r="N17" s="131">
        <f t="shared" si="3"/>
        <v>1006</v>
      </c>
      <c r="O17" s="131">
        <f>SUM(C17:N17)</f>
        <v>6322</v>
      </c>
    </row>
  </sheetData>
  <pageMargins left="0.75" right="0.75" top="1" bottom="1" header="0" footer="0"/>
  <pageSetup paperSize="9" orientation="portrait" horizontalDpi="4294967294" verticalDpi="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7"/>
  <sheetViews>
    <sheetView workbookViewId="0">
      <selection activeCell="E11" sqref="E11"/>
    </sheetView>
  </sheetViews>
  <sheetFormatPr baseColWidth="10" defaultRowHeight="12.75"/>
  <cols>
    <col min="1" max="3" width="10.85546875" customWidth="1"/>
    <col min="4" max="4" width="15.5703125" customWidth="1"/>
    <col min="5" max="5" width="16.5703125" customWidth="1"/>
    <col min="6" max="14" width="13.140625" customWidth="1"/>
  </cols>
  <sheetData>
    <row r="2" spans="1:5">
      <c r="A2" t="s">
        <v>164</v>
      </c>
    </row>
    <row r="3" spans="1:5">
      <c r="A3" t="s">
        <v>165</v>
      </c>
    </row>
    <row r="5" spans="1:5">
      <c r="B5" t="str">
        <f>Datos_básicos!A14</f>
        <v>Temperatura media de las mínimas (ºC)</v>
      </c>
      <c r="C5" t="str">
        <f>Datos_básicos!A15</f>
        <v>Temperatura mínima absoluta (ºC)</v>
      </c>
      <c r="E5" t="s">
        <v>176</v>
      </c>
    </row>
    <row r="6" spans="1:5">
      <c r="A6" t="s">
        <v>26</v>
      </c>
      <c r="B6">
        <f>Datos_básicos!B14</f>
        <v>14.7</v>
      </c>
      <c r="C6">
        <f>Datos_básicos!B15</f>
        <v>9.8000000000000007</v>
      </c>
      <c r="E6" t="str">
        <f t="shared" ref="E6:E17" si="0">IF(B6&lt;0,"Helada segura",IF(C6&lt;0,"Helada probable","Sin riesgo"))</f>
        <v>Sin riesgo</v>
      </c>
    </row>
    <row r="7" spans="1:5">
      <c r="A7" t="s">
        <v>27</v>
      </c>
      <c r="B7">
        <f>Datos_básicos!C14</f>
        <v>14.7</v>
      </c>
      <c r="C7">
        <f>Datos_básicos!C15</f>
        <v>10</v>
      </c>
      <c r="E7" t="str">
        <f t="shared" si="0"/>
        <v>Sin riesgo</v>
      </c>
    </row>
    <row r="8" spans="1:5">
      <c r="A8" t="s">
        <v>166</v>
      </c>
      <c r="B8">
        <f>Datos_básicos!D14</f>
        <v>13.8</v>
      </c>
      <c r="C8">
        <f>Datos_básicos!D15</f>
        <v>7</v>
      </c>
      <c r="E8" t="str">
        <f t="shared" si="0"/>
        <v>Sin riesgo</v>
      </c>
    </row>
    <row r="9" spans="1:5">
      <c r="A9" t="s">
        <v>167</v>
      </c>
      <c r="B9">
        <f>Datos_básicos!E14</f>
        <v>12.1</v>
      </c>
      <c r="C9">
        <f>Datos_básicos!E15</f>
        <v>4.4000000000000004</v>
      </c>
      <c r="E9" t="str">
        <f t="shared" si="0"/>
        <v>Sin riesgo</v>
      </c>
    </row>
    <row r="10" spans="1:5">
      <c r="A10" t="s">
        <v>168</v>
      </c>
      <c r="B10">
        <f>Datos_básicos!F14</f>
        <v>11.3</v>
      </c>
      <c r="C10">
        <f>Datos_básicos!F15</f>
        <v>0.9</v>
      </c>
      <c r="E10" t="str">
        <f t="shared" si="0"/>
        <v>Sin riesgo</v>
      </c>
    </row>
    <row r="11" spans="1:5">
      <c r="A11" t="s">
        <v>169</v>
      </c>
      <c r="B11">
        <f>Datos_básicos!G14</f>
        <v>10.1</v>
      </c>
      <c r="C11">
        <f>Datos_básicos!G15</f>
        <v>5.8</v>
      </c>
      <c r="E11" t="str">
        <f t="shared" si="0"/>
        <v>Sin riesgo</v>
      </c>
    </row>
    <row r="12" spans="1:5">
      <c r="A12" t="s">
        <v>170</v>
      </c>
      <c r="B12">
        <f>Datos_básicos!H14</f>
        <v>9.4</v>
      </c>
      <c r="C12">
        <f>Datos_básicos!H15</f>
        <v>0.9</v>
      </c>
      <c r="E12" t="str">
        <f t="shared" si="0"/>
        <v>Sin riesgo</v>
      </c>
    </row>
    <row r="13" spans="1:5">
      <c r="A13" t="s">
        <v>171</v>
      </c>
      <c r="B13">
        <f>Datos_básicos!I14</f>
        <v>10</v>
      </c>
      <c r="C13">
        <f>Datos_básicos!I15</f>
        <v>5.5</v>
      </c>
      <c r="E13" t="str">
        <f t="shared" si="0"/>
        <v>Sin riesgo</v>
      </c>
    </row>
    <row r="14" spans="1:5">
      <c r="A14" t="s">
        <v>172</v>
      </c>
      <c r="B14">
        <f>Datos_básicos!J14</f>
        <v>10.6</v>
      </c>
      <c r="C14">
        <f>Datos_básicos!J15</f>
        <v>5.6</v>
      </c>
      <c r="E14" t="str">
        <f t="shared" si="0"/>
        <v>Sin riesgo</v>
      </c>
    </row>
    <row r="15" spans="1:5">
      <c r="A15" t="s">
        <v>173</v>
      </c>
      <c r="B15">
        <f>Datos_básicos!K14</f>
        <v>11.3</v>
      </c>
      <c r="C15">
        <f>Datos_básicos!K15</f>
        <v>7.4</v>
      </c>
      <c r="E15" t="str">
        <f t="shared" si="0"/>
        <v>Sin riesgo</v>
      </c>
    </row>
    <row r="16" spans="1:5">
      <c r="A16" t="s">
        <v>174</v>
      </c>
      <c r="B16">
        <f>Datos_básicos!L14</f>
        <v>12.2</v>
      </c>
      <c r="C16">
        <f>Datos_básicos!L15</f>
        <v>8.8000000000000007</v>
      </c>
      <c r="E16" t="str">
        <f t="shared" si="0"/>
        <v>Sin riesgo</v>
      </c>
    </row>
    <row r="17" spans="1:5">
      <c r="A17" t="s">
        <v>175</v>
      </c>
      <c r="B17">
        <f>Datos_básicos!M14</f>
        <v>13.4</v>
      </c>
      <c r="C17">
        <f>Datos_básicos!M15</f>
        <v>9.1999999999999993</v>
      </c>
      <c r="E17" t="str">
        <f t="shared" si="0"/>
        <v>Sin riesgo</v>
      </c>
    </row>
  </sheetData>
  <conditionalFormatting sqref="E6:E17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13</vt:i4>
      </vt:variant>
    </vt:vector>
  </HeadingPairs>
  <TitlesOfParts>
    <vt:vector size="23" baseType="lpstr">
      <vt:lpstr>sANTANDER</vt:lpstr>
      <vt:lpstr>Estaciones</vt:lpstr>
      <vt:lpstr>Datos_básicos</vt:lpstr>
      <vt:lpstr>Duración_día_índiceUV</vt:lpstr>
      <vt:lpstr>Climograma</vt:lpstr>
      <vt:lpstr>Situaciones_Riesgo</vt:lpstr>
      <vt:lpstr>Balance_hídrico</vt:lpstr>
      <vt:lpstr>Índices_térmicos</vt:lpstr>
      <vt:lpstr>Agroclimatología</vt:lpstr>
      <vt:lpstr>Turismo</vt:lpstr>
      <vt:lpstr>a</vt:lpstr>
      <vt:lpstr>ETP</vt:lpstr>
      <vt:lpstr>ETR</vt:lpstr>
      <vt:lpstr>horas_de_sol</vt:lpstr>
      <vt:lpstr>I</vt:lpstr>
      <vt:lpstr>lat_grados</vt:lpstr>
      <vt:lpstr>latitud_min</vt:lpstr>
      <vt:lpstr>nombre</vt:lpstr>
      <vt:lpstr>P</vt:lpstr>
      <vt:lpstr>precipitaciones</vt:lpstr>
      <vt:lpstr>Res</vt:lpstr>
      <vt:lpstr>temperatura</vt:lpstr>
      <vt:lpstr>temperaturas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Javier Sánchez</dc:creator>
  <cp:keywords/>
  <dc:description/>
  <cp:lastModifiedBy>Domingo</cp:lastModifiedBy>
  <cp:revision>1</cp:revision>
  <cp:lastPrinted>2007-03-01T14:25:19Z</cp:lastPrinted>
  <dcterms:created xsi:type="dcterms:W3CDTF">2000-11-13T11:24:30Z</dcterms:created>
  <dcterms:modified xsi:type="dcterms:W3CDTF">2019-12-01T09:32:16Z</dcterms:modified>
</cp:coreProperties>
</file>